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boydr\Documents\C3 and AOSF\IDB PPRC Fisheries\Impact of CC on Production\Market S-D Models\"/>
    </mc:Choice>
  </mc:AlternateContent>
  <xr:revisionPtr revIDLastSave="0" documentId="13_ncr:1_{7C5FA95B-A327-449B-9557-6B4CCC8BA0D0}" xr6:coauthVersionLast="43" xr6:coauthVersionMax="43" xr10:uidLastSave="{00000000-0000-0000-0000-000000000000}"/>
  <bookViews>
    <workbookView xWindow="40942" yWindow="-98" windowWidth="28995" windowHeight="15796" tabRatio="763" xr2:uid="{00000000-000D-0000-FFFF-FFFF00000000}"/>
  </bookViews>
  <sheets>
    <sheet name="Fishery Market Data Inputs" sheetId="8" r:id="rId1"/>
    <sheet name="Economic &amp; Pop. Data Inputs" sheetId="12" r:id="rId2"/>
    <sheet name="Climate Impact Inputs" sheetId="10" r:id="rId3"/>
    <sheet name="Base &amp; Ref. Case Calcs." sheetId="11" r:id="rId4"/>
    <sheet name="Climate Case Calcs." sheetId="13" r:id="rId5"/>
    <sheet name="Supply &amp; Demand Curves" sheetId="14" r:id="rId6"/>
    <sheet name="% Change in Consumption Graphs" sheetId="16" r:id="rId7"/>
    <sheet name="Welfare Change Outputs" sheetId="1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2" l="1"/>
  <c r="E7" i="12"/>
  <c r="E5" i="12"/>
  <c r="D5" i="12"/>
  <c r="E26" i="8" l="1"/>
  <c r="E27" i="8"/>
  <c r="E28" i="8"/>
  <c r="E29" i="8"/>
  <c r="E30" i="8"/>
  <c r="D26" i="8"/>
  <c r="D27" i="8"/>
  <c r="D28" i="8"/>
  <c r="D29" i="8"/>
  <c r="D30" i="8"/>
  <c r="C26" i="8"/>
  <c r="C27" i="8"/>
  <c r="C28" i="8"/>
  <c r="C29" i="8"/>
  <c r="C30" i="8"/>
  <c r="L42" i="15"/>
  <c r="L43" i="15"/>
  <c r="L44" i="15"/>
  <c r="L45" i="15"/>
  <c r="L46" i="15"/>
  <c r="L41" i="15"/>
  <c r="B46" i="15"/>
  <c r="B42" i="15"/>
  <c r="B43" i="15"/>
  <c r="B44" i="15"/>
  <c r="B45" i="15"/>
  <c r="B41" i="15"/>
  <c r="L26" i="15"/>
  <c r="L27" i="15"/>
  <c r="L28" i="15"/>
  <c r="L29" i="15"/>
  <c r="L30" i="15"/>
  <c r="L25" i="15"/>
  <c r="B26" i="15"/>
  <c r="B27" i="15"/>
  <c r="B28" i="15"/>
  <c r="B29" i="15"/>
  <c r="B30" i="15"/>
  <c r="B25" i="15"/>
  <c r="D7" i="12"/>
  <c r="D6" i="12"/>
  <c r="D24" i="12"/>
  <c r="F15" i="10"/>
  <c r="F13" i="10"/>
  <c r="F12" i="10"/>
  <c r="Y18" i="13" s="1"/>
  <c r="F11" i="10"/>
  <c r="Y17" i="13" s="1"/>
  <c r="E15" i="10"/>
  <c r="R21" i="13" s="1"/>
  <c r="E13" i="10"/>
  <c r="R19" i="13" s="1"/>
  <c r="E12" i="10"/>
  <c r="R18" i="13" s="1"/>
  <c r="E11" i="10"/>
  <c r="D15" i="10"/>
  <c r="K21" i="13" s="1"/>
  <c r="D13" i="10"/>
  <c r="K19" i="13" s="1"/>
  <c r="D12" i="10"/>
  <c r="K18" i="13" s="1"/>
  <c r="D11" i="10"/>
  <c r="K17" i="13" s="1"/>
  <c r="C15" i="10"/>
  <c r="D21" i="13" s="1"/>
  <c r="C13" i="10"/>
  <c r="D19" i="13" s="1"/>
  <c r="C12" i="10"/>
  <c r="D18" i="13" s="1"/>
  <c r="C11" i="10"/>
  <c r="D17" i="13" s="1"/>
  <c r="F32" i="10"/>
  <c r="F14" i="10" s="1"/>
  <c r="E32" i="10"/>
  <c r="E14" i="10" s="1"/>
  <c r="D32" i="10"/>
  <c r="D14" i="10" s="1"/>
  <c r="C32" i="10"/>
  <c r="C14" i="10" s="1"/>
  <c r="AF37" i="14"/>
  <c r="X37" i="14"/>
  <c r="P37" i="14"/>
  <c r="H37" i="14"/>
  <c r="Y21" i="13"/>
  <c r="Y19" i="13"/>
  <c r="R17" i="13"/>
  <c r="L14" i="15"/>
  <c r="B14" i="15"/>
  <c r="L13" i="15"/>
  <c r="B13" i="15"/>
  <c r="L12" i="15"/>
  <c r="B12" i="15"/>
  <c r="L11" i="15"/>
  <c r="B11" i="15"/>
  <c r="L10" i="15"/>
  <c r="B10" i="15"/>
  <c r="L9" i="15"/>
  <c r="B9" i="15"/>
  <c r="X8" i="14"/>
  <c r="P8" i="14"/>
  <c r="H8" i="14"/>
  <c r="E24" i="12"/>
  <c r="E23" i="12"/>
  <c r="E22" i="12"/>
  <c r="D22" i="12"/>
  <c r="E21" i="12"/>
  <c r="D21" i="12"/>
  <c r="E11" i="12"/>
  <c r="E10" i="12"/>
  <c r="D10" i="12" l="1"/>
  <c r="D23" i="12"/>
  <c r="D11" i="12"/>
  <c r="E9" i="12" l="1"/>
  <c r="D9" i="12"/>
  <c r="E8" i="12"/>
  <c r="D8" i="12"/>
  <c r="S21" i="11" l="1"/>
  <c r="S20" i="11"/>
  <c r="S19" i="11"/>
  <c r="S18" i="11"/>
  <c r="S17" i="11"/>
  <c r="R21" i="11"/>
  <c r="R20" i="11"/>
  <c r="R19" i="11"/>
  <c r="R18" i="11"/>
  <c r="R17" i="11"/>
  <c r="R10" i="11"/>
  <c r="R9" i="11"/>
  <c r="R8" i="11"/>
  <c r="R7" i="11"/>
  <c r="R6" i="11"/>
  <c r="G12" i="14" s="1"/>
  <c r="S10" i="11"/>
  <c r="S9" i="11"/>
  <c r="S8" i="11"/>
  <c r="S7" i="11"/>
  <c r="S6" i="11"/>
  <c r="K7" i="11"/>
  <c r="L7" i="11"/>
  <c r="K8" i="11"/>
  <c r="L8" i="11"/>
  <c r="K9" i="11"/>
  <c r="L9" i="11"/>
  <c r="K10" i="11"/>
  <c r="L10" i="11"/>
  <c r="L6" i="11"/>
  <c r="K6" i="11"/>
  <c r="G7" i="11"/>
  <c r="H7" i="11"/>
  <c r="G8" i="11"/>
  <c r="H8" i="11"/>
  <c r="G9" i="11"/>
  <c r="H9" i="11"/>
  <c r="G10" i="11"/>
  <c r="H10" i="11"/>
  <c r="H6" i="11"/>
  <c r="G6" i="11"/>
  <c r="I10" i="11"/>
  <c r="I9" i="11"/>
  <c r="I8" i="11"/>
  <c r="I7" i="11"/>
  <c r="I6" i="11"/>
  <c r="F7" i="11"/>
  <c r="F8" i="11"/>
  <c r="F9" i="11"/>
  <c r="F10" i="11"/>
  <c r="F6" i="11"/>
  <c r="J7" i="11"/>
  <c r="J8" i="11"/>
  <c r="J9" i="11"/>
  <c r="J10" i="11"/>
  <c r="J6" i="11"/>
  <c r="N10" i="11"/>
  <c r="N21" i="11" s="1"/>
  <c r="N9" i="11"/>
  <c r="N20" i="11" s="1"/>
  <c r="N8" i="11"/>
  <c r="N19" i="11" s="1"/>
  <c r="N7" i="11"/>
  <c r="N6" i="11"/>
  <c r="N17" i="11" l="1"/>
  <c r="H17" i="14" s="1"/>
  <c r="H12" i="14"/>
  <c r="G22" i="14"/>
  <c r="G21" i="14"/>
  <c r="G24" i="14"/>
  <c r="G17" i="14"/>
  <c r="W19" i="11"/>
  <c r="T21" i="11"/>
  <c r="AI21" i="11" s="1"/>
  <c r="T19" i="11"/>
  <c r="AI19" i="11" s="1"/>
  <c r="T20" i="11"/>
  <c r="AI20" i="11" s="1"/>
  <c r="W21" i="11"/>
  <c r="W20" i="11"/>
  <c r="W9" i="11"/>
  <c r="W10" i="11"/>
  <c r="T7" i="11"/>
  <c r="AI7" i="11" s="1"/>
  <c r="W6" i="11"/>
  <c r="T6" i="11"/>
  <c r="T10" i="11"/>
  <c r="N18" i="11"/>
  <c r="T8" i="11"/>
  <c r="AI8" i="11" s="1"/>
  <c r="W8" i="11"/>
  <c r="T9" i="11"/>
  <c r="W7" i="11"/>
  <c r="P6" i="11"/>
  <c r="O10" i="11"/>
  <c r="O7" i="11"/>
  <c r="O8" i="11"/>
  <c r="O6" i="11"/>
  <c r="P9" i="11"/>
  <c r="P7" i="11"/>
  <c r="O9" i="11"/>
  <c r="P10" i="11"/>
  <c r="P8" i="11"/>
  <c r="N11" i="11"/>
  <c r="T17" i="11" l="1"/>
  <c r="AI17" i="11" s="1"/>
  <c r="AA9" i="11"/>
  <c r="AI9" i="11"/>
  <c r="AA10" i="11"/>
  <c r="AI10" i="11"/>
  <c r="AA6" i="11"/>
  <c r="AI6" i="11"/>
  <c r="W17" i="11"/>
  <c r="H22" i="14"/>
  <c r="H24" i="14"/>
  <c r="H25" i="14"/>
  <c r="U8" i="11"/>
  <c r="V8" i="11" s="1"/>
  <c r="AA8" i="11"/>
  <c r="U21" i="11"/>
  <c r="AJ21" i="11" s="1"/>
  <c r="AA21" i="11"/>
  <c r="U7" i="11"/>
  <c r="V7" i="11" s="1"/>
  <c r="AA7" i="11"/>
  <c r="U17" i="11"/>
  <c r="AJ17" i="11" s="1"/>
  <c r="W19" i="14" s="1"/>
  <c r="U19" i="11"/>
  <c r="AA19" i="11"/>
  <c r="U20" i="11"/>
  <c r="AJ20" i="11" s="1"/>
  <c r="AA20" i="11"/>
  <c r="AB6" i="11"/>
  <c r="O13" i="14" s="1"/>
  <c r="AB10" i="11"/>
  <c r="W18" i="11"/>
  <c r="W11" i="11"/>
  <c r="AB7" i="11"/>
  <c r="AJ7" i="11"/>
  <c r="U10" i="11"/>
  <c r="V10" i="11" s="1"/>
  <c r="AJ10" i="11"/>
  <c r="AJ8" i="11"/>
  <c r="AB8" i="11"/>
  <c r="T18" i="11"/>
  <c r="AI18" i="11" s="1"/>
  <c r="U9" i="11"/>
  <c r="V9" i="11" s="1"/>
  <c r="AB9" i="11"/>
  <c r="U6" i="11"/>
  <c r="AJ6" i="11"/>
  <c r="W13" i="14" s="1"/>
  <c r="AJ9" i="11"/>
  <c r="N22" i="11"/>
  <c r="O11" i="11"/>
  <c r="P11" i="11"/>
  <c r="K20" i="13"/>
  <c r="R20" i="13"/>
  <c r="Y20" i="13"/>
  <c r="D20" i="13"/>
  <c r="AA17" i="11" l="1"/>
  <c r="W22" i="11"/>
  <c r="X14" i="14"/>
  <c r="X16" i="14" s="1"/>
  <c r="P45" i="14" s="1"/>
  <c r="P14" i="14"/>
  <c r="P16" i="14" s="1"/>
  <c r="H45" i="14" s="1"/>
  <c r="S20" i="13"/>
  <c r="T20" i="13" s="1"/>
  <c r="U20" i="13" s="1"/>
  <c r="X18" i="14"/>
  <c r="S17" i="13"/>
  <c r="Z19" i="13"/>
  <c r="AA19" i="13" s="1"/>
  <c r="AB19" i="13" s="1"/>
  <c r="AJ19" i="11"/>
  <c r="V6" i="11"/>
  <c r="V11" i="11" s="1"/>
  <c r="G13" i="14"/>
  <c r="H14" i="14" s="1"/>
  <c r="H16" i="14" s="1"/>
  <c r="AB20" i="11"/>
  <c r="V20" i="11"/>
  <c r="AB17" i="11"/>
  <c r="O19" i="14" s="1"/>
  <c r="P18" i="14" s="1"/>
  <c r="G19" i="14"/>
  <c r="H18" i="14" s="1"/>
  <c r="AB21" i="11"/>
  <c r="V21" i="11"/>
  <c r="AB19" i="11"/>
  <c r="V19" i="11"/>
  <c r="V17" i="11"/>
  <c r="L19" i="13"/>
  <c r="M19" i="13" s="1"/>
  <c r="N19" i="13" s="1"/>
  <c r="L20" i="13"/>
  <c r="M20" i="13" s="1"/>
  <c r="N20" i="13" s="1"/>
  <c r="Z21" i="13"/>
  <c r="Y10" i="13" s="1"/>
  <c r="L21" i="13"/>
  <c r="K10" i="13" s="1"/>
  <c r="AC21" i="11"/>
  <c r="Z20" i="13"/>
  <c r="AA20" i="13" s="1"/>
  <c r="AB20" i="13" s="1"/>
  <c r="E17" i="13"/>
  <c r="E21" i="13"/>
  <c r="F21" i="13" s="1"/>
  <c r="G21" i="13" s="1"/>
  <c r="H21" i="13" s="1"/>
  <c r="E20" i="13"/>
  <c r="F20" i="13" s="1"/>
  <c r="G20" i="13" s="1"/>
  <c r="H20" i="13" s="1"/>
  <c r="L17" i="13"/>
  <c r="AC6" i="11"/>
  <c r="C9" i="15" s="1"/>
  <c r="E19" i="13"/>
  <c r="F19" i="13" s="1"/>
  <c r="S19" i="13"/>
  <c r="T19" i="13" s="1"/>
  <c r="U19" i="13" s="1"/>
  <c r="Z17" i="13"/>
  <c r="S21" i="13"/>
  <c r="R10" i="13" s="1"/>
  <c r="U18" i="11"/>
  <c r="AJ18" i="11" s="1"/>
  <c r="AA18" i="11"/>
  <c r="AC10" i="11"/>
  <c r="C13" i="15" s="1"/>
  <c r="AC17" i="11"/>
  <c r="S18" i="13"/>
  <c r="AK10" i="11"/>
  <c r="D13" i="15" s="1"/>
  <c r="AK9" i="11"/>
  <c r="D12" i="15" s="1"/>
  <c r="AK19" i="11"/>
  <c r="AK17" i="11"/>
  <c r="X17" i="14" s="1"/>
  <c r="AK21" i="11"/>
  <c r="AK6" i="11"/>
  <c r="AK20" i="11"/>
  <c r="AK8" i="11"/>
  <c r="D11" i="15" s="1"/>
  <c r="AC8" i="11"/>
  <c r="C11" i="15" s="1"/>
  <c r="AC19" i="11"/>
  <c r="AC9" i="11"/>
  <c r="C12" i="15" s="1"/>
  <c r="AC20" i="11"/>
  <c r="W16" i="14" l="1"/>
  <c r="M21" i="13"/>
  <c r="N21" i="13" s="1"/>
  <c r="AF45" i="14"/>
  <c r="X45" i="14"/>
  <c r="O16" i="14"/>
  <c r="G13" i="15"/>
  <c r="J13" i="15"/>
  <c r="I13" i="15"/>
  <c r="Y8" i="13"/>
  <c r="J11" i="15" s="1"/>
  <c r="R9" i="13"/>
  <c r="S9" i="13" s="1"/>
  <c r="U9" i="13" s="1"/>
  <c r="D6" i="13"/>
  <c r="H6" i="13" s="1"/>
  <c r="G48" i="14"/>
  <c r="T17" i="13"/>
  <c r="W48" i="14"/>
  <c r="X47" i="14" s="1"/>
  <c r="AA17" i="13"/>
  <c r="AE48" i="14"/>
  <c r="AF47" i="14" s="1"/>
  <c r="K6" i="13"/>
  <c r="L6" i="13" s="1"/>
  <c r="O48" i="14"/>
  <c r="P47" i="14" s="1"/>
  <c r="AD19" i="13"/>
  <c r="AC19" i="13"/>
  <c r="AD20" i="13"/>
  <c r="AC20" i="13"/>
  <c r="W19" i="13"/>
  <c r="V19" i="13"/>
  <c r="W20" i="13"/>
  <c r="V20" i="13"/>
  <c r="P20" i="13"/>
  <c r="O20" i="13"/>
  <c r="P19" i="13"/>
  <c r="O19" i="13"/>
  <c r="I20" i="13"/>
  <c r="I21" i="13"/>
  <c r="M17" i="13"/>
  <c r="R6" i="13"/>
  <c r="I9" i="15" s="1"/>
  <c r="Y9" i="13"/>
  <c r="J12" i="15" s="1"/>
  <c r="Y6" i="13"/>
  <c r="AA21" i="13"/>
  <c r="AB21" i="13" s="1"/>
  <c r="X12" i="14"/>
  <c r="D9" i="15"/>
  <c r="K9" i="13"/>
  <c r="O9" i="13" s="1"/>
  <c r="Z8" i="13"/>
  <c r="AA8" i="13" s="1"/>
  <c r="L10" i="13"/>
  <c r="M10" i="13" s="1"/>
  <c r="S10" i="13"/>
  <c r="T10" i="13" s="1"/>
  <c r="Z10" i="13"/>
  <c r="AB10" i="13" s="1"/>
  <c r="K8" i="13"/>
  <c r="G11" i="15" s="1"/>
  <c r="AH21" i="11"/>
  <c r="AL21" i="11" s="1"/>
  <c r="N29" i="15" s="1"/>
  <c r="Z21" i="11"/>
  <c r="AD21" i="11" s="1"/>
  <c r="M29" i="15" s="1"/>
  <c r="Z20" i="11"/>
  <c r="AD20" i="11" s="1"/>
  <c r="M28" i="15" s="1"/>
  <c r="AH20" i="11"/>
  <c r="AL20" i="11" s="1"/>
  <c r="N28" i="15" s="1"/>
  <c r="AH17" i="11"/>
  <c r="Z17" i="11"/>
  <c r="AE17" i="11" s="1"/>
  <c r="Z19" i="11"/>
  <c r="AD19" i="11" s="1"/>
  <c r="M27" i="15" s="1"/>
  <c r="AH19" i="11"/>
  <c r="AL19" i="11" s="1"/>
  <c r="N27" i="15" s="1"/>
  <c r="P17" i="14"/>
  <c r="P12" i="14"/>
  <c r="AB18" i="11"/>
  <c r="V18" i="11"/>
  <c r="V22" i="11" s="1"/>
  <c r="V24" i="11" s="1"/>
  <c r="G16" i="14"/>
  <c r="D8" i="13"/>
  <c r="F11" i="15" s="1"/>
  <c r="AH10" i="11"/>
  <c r="N13" i="15" s="1"/>
  <c r="R8" i="13"/>
  <c r="I11" i="15" s="1"/>
  <c r="D9" i="13"/>
  <c r="F12" i="15" s="1"/>
  <c r="Z10" i="11"/>
  <c r="M13" i="15" s="1"/>
  <c r="Z8" i="11"/>
  <c r="M11" i="15" s="1"/>
  <c r="Z6" i="11"/>
  <c r="M9" i="15" s="1"/>
  <c r="Z9" i="11"/>
  <c r="M12" i="15" s="1"/>
  <c r="AF10" i="11"/>
  <c r="F17" i="13"/>
  <c r="AK7" i="11"/>
  <c r="D10" i="15" s="1"/>
  <c r="D10" i="13"/>
  <c r="H10" i="13" s="1"/>
  <c r="Z18" i="13"/>
  <c r="AA18" i="13" s="1"/>
  <c r="AB18" i="13" s="1"/>
  <c r="AC18" i="11"/>
  <c r="AK18" i="11"/>
  <c r="AK22" i="11" s="1"/>
  <c r="L18" i="13"/>
  <c r="M18" i="13" s="1"/>
  <c r="N18" i="13" s="1"/>
  <c r="AC7" i="11"/>
  <c r="C10" i="15" s="1"/>
  <c r="AF6" i="11"/>
  <c r="E18" i="13"/>
  <c r="F18" i="13" s="1"/>
  <c r="T21" i="13"/>
  <c r="U21" i="13" s="1"/>
  <c r="AN10" i="11"/>
  <c r="AH9" i="11"/>
  <c r="N12" i="15" s="1"/>
  <c r="AC8" i="13"/>
  <c r="AN9" i="11"/>
  <c r="V10" i="13"/>
  <c r="AC10" i="13"/>
  <c r="G19" i="13"/>
  <c r="H19" i="13" s="1"/>
  <c r="O10" i="13"/>
  <c r="T18" i="13"/>
  <c r="R7" i="13"/>
  <c r="AN8" i="11"/>
  <c r="AN6" i="11"/>
  <c r="AF9" i="11"/>
  <c r="AF8" i="11"/>
  <c r="AH8" i="11"/>
  <c r="N11" i="15" s="1"/>
  <c r="AH6" i="11"/>
  <c r="D9" i="8"/>
  <c r="E9" i="8"/>
  <c r="F9" i="8"/>
  <c r="G9" i="8"/>
  <c r="H9" i="8"/>
  <c r="AM10" i="11" l="1"/>
  <c r="I12" i="15"/>
  <c r="V9" i="13"/>
  <c r="W9" i="13" s="1"/>
  <c r="P28" i="15"/>
  <c r="M44" i="15"/>
  <c r="P29" i="15"/>
  <c r="M45" i="15"/>
  <c r="S27" i="15"/>
  <c r="T27" i="15"/>
  <c r="F13" i="15"/>
  <c r="P27" i="15"/>
  <c r="M43" i="15"/>
  <c r="N45" i="15"/>
  <c r="F9" i="15"/>
  <c r="Q27" i="15"/>
  <c r="N43" i="15"/>
  <c r="Q28" i="15"/>
  <c r="N44" i="15"/>
  <c r="S28" i="15"/>
  <c r="T28" i="15"/>
  <c r="G12" i="15"/>
  <c r="T11" i="15"/>
  <c r="T13" i="15"/>
  <c r="Q13" i="15"/>
  <c r="I10" i="15"/>
  <c r="S13" i="15"/>
  <c r="S12" i="15"/>
  <c r="G9" i="15"/>
  <c r="J9" i="15"/>
  <c r="E6" i="13"/>
  <c r="P9" i="15" s="1"/>
  <c r="AC11" i="11"/>
  <c r="C14" i="15" s="1"/>
  <c r="W10" i="13"/>
  <c r="O6" i="13"/>
  <c r="P6" i="13" s="1"/>
  <c r="AC6" i="13"/>
  <c r="AD6" i="13" s="1"/>
  <c r="W45" i="14"/>
  <c r="AB17" i="13"/>
  <c r="AF46" i="14"/>
  <c r="H47" i="14"/>
  <c r="G45" i="14"/>
  <c r="N17" i="13"/>
  <c r="O46" i="14" s="1"/>
  <c r="P46" i="14"/>
  <c r="AE45" i="14"/>
  <c r="G17" i="13"/>
  <c r="I17" i="13" s="1"/>
  <c r="H46" i="14"/>
  <c r="U17" i="13"/>
  <c r="X46" i="14"/>
  <c r="O45" i="14"/>
  <c r="AD21" i="13"/>
  <c r="AC21" i="13"/>
  <c r="T29" i="15" s="1"/>
  <c r="AD18" i="13"/>
  <c r="AC18" i="13"/>
  <c r="W21" i="13"/>
  <c r="V21" i="13"/>
  <c r="S29" i="15" s="1"/>
  <c r="P21" i="13"/>
  <c r="O21" i="13"/>
  <c r="Q29" i="15" s="1"/>
  <c r="P18" i="13"/>
  <c r="O18" i="13"/>
  <c r="AM21" i="11"/>
  <c r="S6" i="13"/>
  <c r="S9" i="15" s="1"/>
  <c r="AL10" i="11"/>
  <c r="D29" i="15" s="1"/>
  <c r="I19" i="13"/>
  <c r="AE21" i="11"/>
  <c r="AC9" i="13"/>
  <c r="AD9" i="13" s="1"/>
  <c r="V6" i="13"/>
  <c r="W6" i="13" s="1"/>
  <c r="Z9" i="13"/>
  <c r="T12" i="15" s="1"/>
  <c r="Z6" i="13"/>
  <c r="AB6" i="13" s="1"/>
  <c r="K7" i="13"/>
  <c r="K11" i="13" s="1"/>
  <c r="AB8" i="13"/>
  <c r="W12" i="14"/>
  <c r="N9" i="15"/>
  <c r="X25" i="14"/>
  <c r="X24" i="14"/>
  <c r="X22" i="14"/>
  <c r="W17" i="14"/>
  <c r="AL17" i="11"/>
  <c r="N25" i="15" s="1"/>
  <c r="N10" i="13"/>
  <c r="E8" i="13"/>
  <c r="P11" i="15" s="1"/>
  <c r="E10" i="13"/>
  <c r="P13" i="15" s="1"/>
  <c r="E9" i="13"/>
  <c r="G9" i="13" s="1"/>
  <c r="AA10" i="13"/>
  <c r="T9" i="13"/>
  <c r="L8" i="13"/>
  <c r="Q11" i="15" s="1"/>
  <c r="O8" i="13"/>
  <c r="P8" i="13" s="1"/>
  <c r="U10" i="13"/>
  <c r="S8" i="13"/>
  <c r="S11" i="15" s="1"/>
  <c r="L9" i="13"/>
  <c r="Q12" i="15" s="1"/>
  <c r="AE6" i="11"/>
  <c r="Z18" i="11"/>
  <c r="AD18" i="11" s="1"/>
  <c r="M26" i="15" s="1"/>
  <c r="AH18" i="11"/>
  <c r="AL18" i="11" s="1"/>
  <c r="N26" i="15" s="1"/>
  <c r="AD10" i="11"/>
  <c r="C29" i="15" s="1"/>
  <c r="H8" i="13"/>
  <c r="I8" i="13" s="1"/>
  <c r="O17" i="14"/>
  <c r="AD17" i="11"/>
  <c r="M25" i="15" s="1"/>
  <c r="O12" i="14"/>
  <c r="AD6" i="11"/>
  <c r="C25" i="15" s="1"/>
  <c r="P25" i="14"/>
  <c r="P24" i="14"/>
  <c r="P22" i="14"/>
  <c r="V8" i="13"/>
  <c r="W8" i="13" s="1"/>
  <c r="D7" i="13"/>
  <c r="F10" i="15" s="1"/>
  <c r="H9" i="13"/>
  <c r="I9" i="13" s="1"/>
  <c r="AK11" i="11"/>
  <c r="D14" i="15" s="1"/>
  <c r="AE10" i="11"/>
  <c r="AN7" i="11"/>
  <c r="AN11" i="11" s="1"/>
  <c r="AH7" i="11"/>
  <c r="N10" i="15" s="1"/>
  <c r="Z7" i="11"/>
  <c r="M10" i="15" s="1"/>
  <c r="AC22" i="11"/>
  <c r="AD10" i="13"/>
  <c r="Y7" i="13"/>
  <c r="J10" i="15" s="1"/>
  <c r="AF7" i="11"/>
  <c r="AF11" i="11" s="1"/>
  <c r="I10" i="13"/>
  <c r="P10" i="13"/>
  <c r="AM9" i="11"/>
  <c r="AL9" i="11"/>
  <c r="D28" i="15" s="1"/>
  <c r="I6" i="13"/>
  <c r="P9" i="13"/>
  <c r="AD8" i="13"/>
  <c r="V7" i="13"/>
  <c r="S7" i="13"/>
  <c r="F22" i="13"/>
  <c r="N6" i="13"/>
  <c r="M6" i="13"/>
  <c r="AM6" i="11"/>
  <c r="U18" i="13"/>
  <c r="G18" i="13"/>
  <c r="H18" i="13" s="1"/>
  <c r="T22" i="13"/>
  <c r="AA22" i="13"/>
  <c r="R11" i="13"/>
  <c r="M22" i="13"/>
  <c r="AE8" i="11"/>
  <c r="AE9" i="11"/>
  <c r="AL6" i="11"/>
  <c r="D25" i="15" s="1"/>
  <c r="AD8" i="11"/>
  <c r="C27" i="15" s="1"/>
  <c r="AD9" i="11"/>
  <c r="C28" i="15" s="1"/>
  <c r="AM17" i="11"/>
  <c r="AM8" i="11"/>
  <c r="AL8" i="11"/>
  <c r="D27" i="15" s="1"/>
  <c r="AM19" i="11"/>
  <c r="AM20" i="11"/>
  <c r="AE20" i="11"/>
  <c r="AE19" i="11"/>
  <c r="I9" i="8"/>
  <c r="G6" i="13" l="1"/>
  <c r="S45" i="15"/>
  <c r="P45" i="15"/>
  <c r="G10" i="15"/>
  <c r="Q44" i="15"/>
  <c r="J27" i="15"/>
  <c r="D43" i="15"/>
  <c r="C43" i="15"/>
  <c r="P26" i="15"/>
  <c r="M42" i="15"/>
  <c r="J29" i="15"/>
  <c r="D45" i="15"/>
  <c r="T44" i="15"/>
  <c r="T45" i="15"/>
  <c r="Q45" i="15"/>
  <c r="I28" i="15"/>
  <c r="C44" i="15"/>
  <c r="M41" i="15"/>
  <c r="C41" i="15"/>
  <c r="N41" i="15"/>
  <c r="T26" i="15"/>
  <c r="P12" i="15"/>
  <c r="Q43" i="15"/>
  <c r="T43" i="15"/>
  <c r="S44" i="15"/>
  <c r="P44" i="15"/>
  <c r="Q26" i="15"/>
  <c r="N42" i="15"/>
  <c r="G25" i="15"/>
  <c r="D41" i="15"/>
  <c r="D44" i="15"/>
  <c r="I29" i="15"/>
  <c r="C45" i="15"/>
  <c r="G29" i="15"/>
  <c r="P43" i="15"/>
  <c r="S43" i="15"/>
  <c r="S10" i="15"/>
  <c r="Q9" i="15"/>
  <c r="T9" i="15"/>
  <c r="I14" i="15"/>
  <c r="G14" i="15"/>
  <c r="F6" i="13"/>
  <c r="F25" i="15" s="1"/>
  <c r="AL7" i="11"/>
  <c r="D26" i="15" s="1"/>
  <c r="AM18" i="11"/>
  <c r="AM22" i="11" s="1"/>
  <c r="AM7" i="11"/>
  <c r="AM11" i="11" s="1"/>
  <c r="AH11" i="11" s="1"/>
  <c r="N14" i="15" s="1"/>
  <c r="O17" i="13"/>
  <c r="Q25" i="15" s="1"/>
  <c r="P17" i="13"/>
  <c r="P22" i="13" s="1"/>
  <c r="X51" i="14"/>
  <c r="X53" i="14"/>
  <c r="X54" i="14"/>
  <c r="W46" i="14"/>
  <c r="W17" i="13"/>
  <c r="V17" i="13"/>
  <c r="S25" i="15" s="1"/>
  <c r="P53" i="14"/>
  <c r="P51" i="14"/>
  <c r="P54" i="14"/>
  <c r="H53" i="14"/>
  <c r="H51" i="14"/>
  <c r="H54" i="14"/>
  <c r="O50" i="14"/>
  <c r="O53" i="14"/>
  <c r="O51" i="14"/>
  <c r="AF54" i="14"/>
  <c r="AF53" i="14"/>
  <c r="AF51" i="14"/>
  <c r="H17" i="13"/>
  <c r="P25" i="15" s="1"/>
  <c r="G46" i="14"/>
  <c r="AE46" i="14"/>
  <c r="AC17" i="13"/>
  <c r="T25" i="15" s="1"/>
  <c r="AD17" i="13"/>
  <c r="AD22" i="13" s="1"/>
  <c r="W18" i="13"/>
  <c r="V18" i="13"/>
  <c r="S26" i="15" s="1"/>
  <c r="T6" i="13"/>
  <c r="I25" i="15" s="1"/>
  <c r="U6" i="13"/>
  <c r="AD7" i="11"/>
  <c r="AE7" i="11"/>
  <c r="AE11" i="11" s="1"/>
  <c r="Z11" i="11" s="1"/>
  <c r="M14" i="15" s="1"/>
  <c r="I18" i="13"/>
  <c r="I22" i="13" s="1"/>
  <c r="AE18" i="11"/>
  <c r="AE22" i="11" s="1"/>
  <c r="AB9" i="13"/>
  <c r="AA6" i="13"/>
  <c r="J25" i="15" s="1"/>
  <c r="L7" i="13"/>
  <c r="Q10" i="15" s="1"/>
  <c r="AA9" i="13"/>
  <c r="J28" i="15" s="1"/>
  <c r="O7" i="13"/>
  <c r="O11" i="13" s="1"/>
  <c r="P11" i="13" s="1"/>
  <c r="F10" i="13"/>
  <c r="F29" i="15" s="1"/>
  <c r="G10" i="13"/>
  <c r="W22" i="14"/>
  <c r="W24" i="14"/>
  <c r="W21" i="14"/>
  <c r="T8" i="13"/>
  <c r="I27" i="15" s="1"/>
  <c r="F9" i="13"/>
  <c r="F28" i="15" s="1"/>
  <c r="Y11" i="13"/>
  <c r="J14" i="15" s="1"/>
  <c r="U8" i="13"/>
  <c r="N9" i="13"/>
  <c r="M9" i="13"/>
  <c r="G28" i="15" s="1"/>
  <c r="M8" i="13"/>
  <c r="G27" i="15" s="1"/>
  <c r="N8" i="13"/>
  <c r="F8" i="13"/>
  <c r="F27" i="15" s="1"/>
  <c r="G8" i="13"/>
  <c r="O22" i="14"/>
  <c r="O24" i="14"/>
  <c r="O21" i="14"/>
  <c r="E7" i="13"/>
  <c r="P10" i="15" s="1"/>
  <c r="D11" i="13"/>
  <c r="F14" i="15" s="1"/>
  <c r="H7" i="13"/>
  <c r="I7" i="13" s="1"/>
  <c r="W7" i="13"/>
  <c r="Z7" i="13"/>
  <c r="T10" i="15" s="1"/>
  <c r="AC7" i="13"/>
  <c r="AD7" i="13" s="1"/>
  <c r="V11" i="13"/>
  <c r="W11" i="13" s="1"/>
  <c r="U7" i="13"/>
  <c r="T7" i="13"/>
  <c r="AL22" i="11"/>
  <c r="N30" i="15" s="1"/>
  <c r="AD22" i="11"/>
  <c r="M30" i="15" s="1"/>
  <c r="I8" i="8"/>
  <c r="I7" i="8"/>
  <c r="H6" i="8"/>
  <c r="G6" i="8"/>
  <c r="F6" i="8"/>
  <c r="E6" i="8"/>
  <c r="D6" i="8"/>
  <c r="I5" i="8"/>
  <c r="T42" i="15" l="1"/>
  <c r="J45" i="15"/>
  <c r="Q42" i="15"/>
  <c r="Q41" i="15"/>
  <c r="T41" i="15"/>
  <c r="AL11" i="11"/>
  <c r="D30" i="15" s="1"/>
  <c r="G45" i="15"/>
  <c r="S42" i="15"/>
  <c r="P42" i="15"/>
  <c r="G43" i="15"/>
  <c r="J43" i="15"/>
  <c r="M46" i="15"/>
  <c r="AD11" i="11"/>
  <c r="C30" i="15" s="1"/>
  <c r="C26" i="15"/>
  <c r="D42" i="15"/>
  <c r="I43" i="15"/>
  <c r="F43" i="15"/>
  <c r="N46" i="15"/>
  <c r="J44" i="15"/>
  <c r="G44" i="15"/>
  <c r="S41" i="15"/>
  <c r="P41" i="15"/>
  <c r="O22" i="13"/>
  <c r="Q30" i="15" s="1"/>
  <c r="I45" i="15"/>
  <c r="F45" i="15"/>
  <c r="G41" i="15"/>
  <c r="J41" i="15"/>
  <c r="I41" i="15"/>
  <c r="F41" i="15"/>
  <c r="I44" i="15"/>
  <c r="F44" i="15"/>
  <c r="AC22" i="13"/>
  <c r="T30" i="15" s="1"/>
  <c r="W22" i="13"/>
  <c r="AE51" i="14"/>
  <c r="AE53" i="14"/>
  <c r="AE50" i="14"/>
  <c r="G53" i="14"/>
  <c r="G50" i="14"/>
  <c r="G51" i="14"/>
  <c r="W51" i="14"/>
  <c r="W50" i="14"/>
  <c r="W53" i="14"/>
  <c r="H11" i="13"/>
  <c r="I11" i="13" s="1"/>
  <c r="M7" i="13"/>
  <c r="G26" i="15" s="1"/>
  <c r="N7" i="13"/>
  <c r="N11" i="13" s="1"/>
  <c r="L11" i="13" s="1"/>
  <c r="Q14" i="15" s="1"/>
  <c r="P7" i="13"/>
  <c r="U11" i="13"/>
  <c r="S11" i="13" s="1"/>
  <c r="S14" i="15" s="1"/>
  <c r="G7" i="13"/>
  <c r="G11" i="13" s="1"/>
  <c r="E11" i="13" s="1"/>
  <c r="P14" i="15" s="1"/>
  <c r="AB7" i="13"/>
  <c r="AB11" i="13" s="1"/>
  <c r="Z11" i="13" s="1"/>
  <c r="T14" i="15" s="1"/>
  <c r="F7" i="13"/>
  <c r="AA7" i="13"/>
  <c r="J26" i="15" s="1"/>
  <c r="AC11" i="13"/>
  <c r="AD11" i="13" s="1"/>
  <c r="AD24" i="11"/>
  <c r="T11" i="13"/>
  <c r="H22" i="13"/>
  <c r="P30" i="15" s="1"/>
  <c r="V22" i="13"/>
  <c r="S30" i="15" s="1"/>
  <c r="I6" i="8"/>
  <c r="AL24" i="11" l="1"/>
  <c r="T46" i="15"/>
  <c r="F26" i="15"/>
  <c r="I30" i="15"/>
  <c r="C46" i="15"/>
  <c r="Q46" i="15"/>
  <c r="G42" i="15"/>
  <c r="J42" i="15"/>
  <c r="S46" i="15"/>
  <c r="P46" i="15"/>
  <c r="D46" i="15"/>
  <c r="I26" i="15"/>
  <c r="C42" i="15"/>
  <c r="V24" i="13"/>
  <c r="M11" i="13"/>
  <c r="AA11" i="13"/>
  <c r="AC24" i="13" s="1"/>
  <c r="F11" i="13"/>
  <c r="J30" i="15" l="1"/>
  <c r="I46" i="15"/>
  <c r="H24" i="13"/>
  <c r="F30" i="15"/>
  <c r="F46" i="15" s="1"/>
  <c r="I42" i="15"/>
  <c r="F42" i="15"/>
  <c r="O24" i="13"/>
  <c r="G30" i="15"/>
  <c r="G46" i="15" s="1"/>
  <c r="J46" i="15"/>
</calcChain>
</file>

<file path=xl/sharedStrings.xml><?xml version="1.0" encoding="utf-8"?>
<sst xmlns="http://schemas.openxmlformats.org/spreadsheetml/2006/main" count="536" uniqueCount="180">
  <si>
    <t>Total</t>
  </si>
  <si>
    <t>Income elasticity</t>
  </si>
  <si>
    <t>Supply</t>
  </si>
  <si>
    <t>Demand</t>
  </si>
  <si>
    <t>Initial average price</t>
  </si>
  <si>
    <t>Demersals</t>
  </si>
  <si>
    <t>Tuna &amp; billfishes</t>
  </si>
  <si>
    <t>Other palegic</t>
  </si>
  <si>
    <t>Other marine</t>
  </si>
  <si>
    <t>Crustaceans</t>
  </si>
  <si>
    <t>US $ per tonne</t>
  </si>
  <si>
    <t>tonnes</t>
  </si>
  <si>
    <t>US $</t>
  </si>
  <si>
    <t>US $ / capita</t>
  </si>
  <si>
    <t>% pa</t>
  </si>
  <si>
    <t>2011</t>
  </si>
  <si>
    <t>RCP 2.6</t>
  </si>
  <si>
    <t>RCP 8.5</t>
  </si>
  <si>
    <t>Population</t>
  </si>
  <si>
    <t>2011-2035</t>
  </si>
  <si>
    <t>2011-2055</t>
  </si>
  <si>
    <t>Net trade ( -ve = imports )</t>
  </si>
  <si>
    <t>All species</t>
  </si>
  <si>
    <r>
      <t>% shift in supply due to climate change</t>
    </r>
    <r>
      <rPr>
        <sz val="10"/>
        <color theme="1"/>
        <rFont val="Calibri"/>
        <family val="2"/>
        <scheme val="minor"/>
      </rPr>
      <t xml:space="preserve"> *</t>
    </r>
  </si>
  <si>
    <t>Other marine **</t>
  </si>
  <si>
    <t>Grey highlighted cells indicate data input fields</t>
  </si>
  <si>
    <t>Notes:</t>
  </si>
  <si>
    <t>Aggregate fish balance sheet information</t>
  </si>
  <si>
    <t>** Figures based on a (production) weighted average of "other palegic" &amp; "demersals" for country</t>
  </si>
  <si>
    <t>All values in the aggregate fish balanace sheet are annual averages over the period 2009-2013</t>
  </si>
  <si>
    <t>Tonnages are "live weight equivalents"</t>
  </si>
  <si>
    <t>Prices are "ex-vessel" with the exception of aquaculture production, expressed in 2010 US$</t>
  </si>
  <si>
    <t>"Demersal fish" include ISSCAPP fish groups: 31, 33, 34, 38</t>
  </si>
  <si>
    <t>"Pelagic - tuna &amp; billfishes" include ISSCAPP fish group: 36 (excluding 'perch-likes')</t>
  </si>
  <si>
    <t>"Pelagic - other" include ISSCAPP fish groups: 35, 37, 36 ('perch-likes' only)</t>
  </si>
  <si>
    <t>"Marine fish - other" include ISSCAPP fish group: 39</t>
  </si>
  <si>
    <t>"Crustaceans (capture)" include ISSCAPP fish groups: 42, 43, 45, 47</t>
  </si>
  <si>
    <t>"Cephalopods &amp; molluscs (capture)" include ISSCAPP fish groups: 52, 56, 57</t>
  </si>
  <si>
    <r>
      <t xml:space="preserve">Base year quantity </t>
    </r>
    <r>
      <rPr>
        <u/>
        <sz val="10"/>
        <color theme="1"/>
        <rFont val="Calibri"/>
        <family val="2"/>
        <scheme val="minor"/>
      </rPr>
      <t>consumed</t>
    </r>
  </si>
  <si>
    <r>
      <t xml:space="preserve">Base year total </t>
    </r>
    <r>
      <rPr>
        <u/>
        <sz val="10"/>
        <color theme="1"/>
        <rFont val="Calibri"/>
        <family val="2"/>
        <scheme val="minor"/>
      </rPr>
      <t>produced</t>
    </r>
  </si>
  <si>
    <t>Base year value of landings</t>
  </si>
  <si>
    <t>Socioeconomic data for projecting future fish demand</t>
  </si>
  <si>
    <t xml:space="preserve">Population data from United Nations World Urbanization Prospects: The 2018 Revision </t>
  </si>
  <si>
    <t>GDP data from International Monetary Fund (IMF) Work Economic Outlook 2018 database</t>
  </si>
  <si>
    <t>Income per capita</t>
  </si>
  <si>
    <t>2011 is used as it is the mid-year of the period 2009-2013 (used for the fish balance sheets)</t>
  </si>
  <si>
    <t>Elasticity estimates</t>
  </si>
  <si>
    <t>Income</t>
  </si>
  <si>
    <t>Real income (base)</t>
  </si>
  <si>
    <t>Real income (2035)</t>
  </si>
  <si>
    <t>Real income (2055)</t>
  </si>
  <si>
    <t>Population (base)</t>
  </si>
  <si>
    <t>Population (2035)</t>
  </si>
  <si>
    <t>Population (2055)</t>
  </si>
  <si>
    <t>Qd base (Q0)</t>
  </si>
  <si>
    <t>Qs base (Q0)</t>
  </si>
  <si>
    <t>Qd 2035 (Q1)</t>
  </si>
  <si>
    <t>Qd 2055 (Q1)</t>
  </si>
  <si>
    <t>Domestic consumption (demand)</t>
  </si>
  <si>
    <t>Production (supply)</t>
  </si>
  <si>
    <t>Elasticity demand</t>
  </si>
  <si>
    <t>Elasticity supply</t>
  </si>
  <si>
    <t>Price base (P0)</t>
  </si>
  <si>
    <t>Slope of supply curve (S0)</t>
  </si>
  <si>
    <t>Slope of demand curve (D0)</t>
  </si>
  <si>
    <t>Consumer surplus (base)</t>
  </si>
  <si>
    <t>Producer surplus (base)</t>
  </si>
  <si>
    <t>Consumer expenditure (base)</t>
  </si>
  <si>
    <t>Producer revenue (base)</t>
  </si>
  <si>
    <t>Demand curve intercept (base)</t>
  </si>
  <si>
    <t>Supply curve intercept (base)</t>
  </si>
  <si>
    <t>Supply curves (base case, S0)</t>
  </si>
  <si>
    <t>Demand curves (base case, D0)</t>
  </si>
  <si>
    <t>Slope of demand curve (D1)</t>
  </si>
  <si>
    <t>Demand curve intercept (2035)</t>
  </si>
  <si>
    <t>Supply curve intercept (S0)</t>
  </si>
  <si>
    <t>Qd 2035 (Q1; S0,D1)</t>
  </si>
  <si>
    <t>Producer surplus (reference, 2035)</t>
  </si>
  <si>
    <t>Consumer surplus (reference, 2035)</t>
  </si>
  <si>
    <t>Consumer expenditure (reference, 2035)</t>
  </si>
  <si>
    <t>Producer revenue (reference, 2035)</t>
  </si>
  <si>
    <t>Per capita daily consumption (reference, 2035)</t>
  </si>
  <si>
    <t>Demand curves (reference case, 2035)</t>
  </si>
  <si>
    <t>Supply curves (reference case, 2035)</t>
  </si>
  <si>
    <t>P 2035 (P1; S0, D1)</t>
  </si>
  <si>
    <t>Qs = quantity supplied = Dd</t>
  </si>
  <si>
    <t>Qd = quantity demanded = Ds</t>
  </si>
  <si>
    <t>US$ / capita</t>
  </si>
  <si>
    <t>number</t>
  </si>
  <si>
    <t>US$ / tonne</t>
  </si>
  <si>
    <t>=</t>
  </si>
  <si>
    <t>For:</t>
  </si>
  <si>
    <t xml:space="preserve">Enter: </t>
  </si>
  <si>
    <t>Market Supply-Demand Curves for Base Case for:</t>
  </si>
  <si>
    <t>Price:</t>
  </si>
  <si>
    <t>Quantity:</t>
  </si>
  <si>
    <t>Equilibrium (demand)</t>
  </si>
  <si>
    <t>X-intercept (demand)</t>
  </si>
  <si>
    <t>Y-intercept (demand)</t>
  </si>
  <si>
    <t>Y-intercept (supply)</t>
  </si>
  <si>
    <t>Equilibrium price</t>
  </si>
  <si>
    <t>Equilibrium quantity</t>
  </si>
  <si>
    <t>Equilibrium (supply)</t>
  </si>
  <si>
    <t>Supply maximum</t>
  </si>
  <si>
    <t>Market S-D Curves for Reference Case in 2035 for:</t>
  </si>
  <si>
    <t>Market S-D Curves for Reference Case in 2055 for:</t>
  </si>
  <si>
    <t>Qs 2035 (Q1; S0,D1)</t>
  </si>
  <si>
    <t>Consumer surplus (reference, 2055)</t>
  </si>
  <si>
    <t>Consumer expenditure (reference, 2055)</t>
  </si>
  <si>
    <t>Per capita daily consumption (reference, 2055)</t>
  </si>
  <si>
    <t>Producer surplus (reference, 2055)</t>
  </si>
  <si>
    <t>Producer revenue (reference, 2055)</t>
  </si>
  <si>
    <t>Demand curve intercept (2055)</t>
  </si>
  <si>
    <t>Qd 2055 (Q1; S0,D1)</t>
  </si>
  <si>
    <t>Qs 2055 (Q1; S0,D1)</t>
  </si>
  <si>
    <t>Demand curves (reference case, 2055)</t>
  </si>
  <si>
    <t>Supply curves (reference case, 2055)</t>
  </si>
  <si>
    <t>P 2055 (P1; S0, D1)</t>
  </si>
  <si>
    <t>Fish groups</t>
  </si>
  <si>
    <t>g / person / day</t>
  </si>
  <si>
    <t>Shift in S0 to S1</t>
  </si>
  <si>
    <t>Consumer surplus</t>
  </si>
  <si>
    <t>Consumer expenditure</t>
  </si>
  <si>
    <t>Qd (Q2; S1,D1)</t>
  </si>
  <si>
    <t>P (P2; S1, D1)</t>
  </si>
  <si>
    <t>% loss daily per capita consumption</t>
  </si>
  <si>
    <t>Per capita daily consumption</t>
  </si>
  <si>
    <t>Producer surplus</t>
  </si>
  <si>
    <t>Producer revenue</t>
  </si>
  <si>
    <t>US$ per tonne</t>
  </si>
  <si>
    <r>
      <t xml:space="preserve">Demand curves under </t>
    </r>
    <r>
      <rPr>
        <b/>
        <sz val="11"/>
        <color rgb="FFFF0000"/>
        <rFont val="Calibri"/>
        <family val="2"/>
        <scheme val="minor"/>
      </rPr>
      <t>RCP 2.6</t>
    </r>
    <r>
      <rPr>
        <b/>
        <sz val="11"/>
        <color theme="1"/>
        <rFont val="Calibri"/>
        <family val="2"/>
        <scheme val="minor"/>
      </rPr>
      <t xml:space="preserve"> in </t>
    </r>
    <r>
      <rPr>
        <b/>
        <sz val="11"/>
        <color rgb="FFFF0000"/>
        <rFont val="Calibri"/>
        <family val="2"/>
        <scheme val="minor"/>
      </rPr>
      <t>2035</t>
    </r>
  </si>
  <si>
    <r>
      <t xml:space="preserve">Supple curves under </t>
    </r>
    <r>
      <rPr>
        <b/>
        <sz val="11"/>
        <color rgb="FFFF0000"/>
        <rFont val="Calibri"/>
        <family val="2"/>
        <scheme val="minor"/>
      </rPr>
      <t>RCP 2.6</t>
    </r>
    <r>
      <rPr>
        <b/>
        <sz val="11"/>
        <color theme="1"/>
        <rFont val="Calibri"/>
        <family val="2"/>
        <scheme val="minor"/>
      </rPr>
      <t xml:space="preserve"> in </t>
    </r>
    <r>
      <rPr>
        <b/>
        <sz val="11"/>
        <color rgb="FFFF0000"/>
        <rFont val="Calibri"/>
        <family val="2"/>
        <scheme val="minor"/>
      </rPr>
      <t>2035</t>
    </r>
  </si>
  <si>
    <t>Supply curve intercept (S1)</t>
  </si>
  <si>
    <r>
      <t xml:space="preserve">Supple curves under </t>
    </r>
    <r>
      <rPr>
        <b/>
        <sz val="11"/>
        <color rgb="FFFF0000"/>
        <rFont val="Calibri"/>
        <family val="2"/>
        <scheme val="minor"/>
      </rPr>
      <t>RCP 2.6</t>
    </r>
    <r>
      <rPr>
        <b/>
        <sz val="11"/>
        <color theme="1"/>
        <rFont val="Calibri"/>
        <family val="2"/>
        <scheme val="minor"/>
      </rPr>
      <t xml:space="preserve"> in </t>
    </r>
    <r>
      <rPr>
        <b/>
        <sz val="11"/>
        <color rgb="FFFF0000"/>
        <rFont val="Calibri"/>
        <family val="2"/>
        <scheme val="minor"/>
      </rPr>
      <t>2055</t>
    </r>
  </si>
  <si>
    <r>
      <t xml:space="preserve">Demand curves under </t>
    </r>
    <r>
      <rPr>
        <b/>
        <sz val="11"/>
        <color rgb="FFFF0000"/>
        <rFont val="Calibri"/>
        <family val="2"/>
        <scheme val="minor"/>
      </rPr>
      <t>RCP 2.6</t>
    </r>
    <r>
      <rPr>
        <b/>
        <sz val="11"/>
        <color theme="1"/>
        <rFont val="Calibri"/>
        <family val="2"/>
        <scheme val="minor"/>
      </rPr>
      <t xml:space="preserve"> in </t>
    </r>
    <r>
      <rPr>
        <b/>
        <sz val="11"/>
        <color rgb="FFFF0000"/>
        <rFont val="Calibri"/>
        <family val="2"/>
        <scheme val="minor"/>
      </rPr>
      <t>2055</t>
    </r>
  </si>
  <si>
    <t>%</t>
  </si>
  <si>
    <t>Qs (Q2; S1,D1)</t>
  </si>
  <si>
    <t>DEMAND SIDE</t>
  </si>
  <si>
    <t>SUPPLY SIDE</t>
  </si>
  <si>
    <t>monetary welfare measure =</t>
  </si>
  <si>
    <r>
      <t xml:space="preserve">Demand curves under </t>
    </r>
    <r>
      <rPr>
        <b/>
        <sz val="11"/>
        <color rgb="FFFF0000"/>
        <rFont val="Calibri"/>
        <family val="2"/>
        <scheme val="minor"/>
      </rPr>
      <t>RCP 8.5</t>
    </r>
    <r>
      <rPr>
        <b/>
        <sz val="11"/>
        <color theme="1"/>
        <rFont val="Calibri"/>
        <family val="2"/>
        <scheme val="minor"/>
      </rPr>
      <t xml:space="preserve"> in </t>
    </r>
    <r>
      <rPr>
        <b/>
        <sz val="11"/>
        <color rgb="FFFF0000"/>
        <rFont val="Calibri"/>
        <family val="2"/>
        <scheme val="minor"/>
      </rPr>
      <t>2035</t>
    </r>
  </si>
  <si>
    <r>
      <t xml:space="preserve">Demand curves under </t>
    </r>
    <r>
      <rPr>
        <b/>
        <sz val="11"/>
        <color rgb="FFFF0000"/>
        <rFont val="Calibri"/>
        <family val="2"/>
        <scheme val="minor"/>
      </rPr>
      <t>RCP 8.5</t>
    </r>
    <r>
      <rPr>
        <b/>
        <sz val="11"/>
        <color theme="1"/>
        <rFont val="Calibri"/>
        <family val="2"/>
        <scheme val="minor"/>
      </rPr>
      <t xml:space="preserve"> in </t>
    </r>
    <r>
      <rPr>
        <b/>
        <sz val="11"/>
        <color rgb="FFFF0000"/>
        <rFont val="Calibri"/>
        <family val="2"/>
        <scheme val="minor"/>
      </rPr>
      <t>2055</t>
    </r>
  </si>
  <si>
    <r>
      <t xml:space="preserve">Supply curves under </t>
    </r>
    <r>
      <rPr>
        <b/>
        <sz val="11"/>
        <color rgb="FFFF0000"/>
        <rFont val="Calibri"/>
        <family val="2"/>
        <scheme val="minor"/>
      </rPr>
      <t>RCP 8.5</t>
    </r>
    <r>
      <rPr>
        <b/>
        <sz val="11"/>
        <color theme="1"/>
        <rFont val="Calibri"/>
        <family val="2"/>
        <scheme val="minor"/>
      </rPr>
      <t xml:space="preserve"> in </t>
    </r>
    <r>
      <rPr>
        <b/>
        <sz val="11"/>
        <color rgb="FFFF0000"/>
        <rFont val="Calibri"/>
        <family val="2"/>
        <scheme val="minor"/>
      </rPr>
      <t>2035</t>
    </r>
  </si>
  <si>
    <r>
      <t xml:space="preserve">Supply curves under </t>
    </r>
    <r>
      <rPr>
        <b/>
        <sz val="11"/>
        <color rgb="FFFF0000"/>
        <rFont val="Calibri"/>
        <family val="2"/>
        <scheme val="minor"/>
      </rPr>
      <t>RCP 8.5</t>
    </r>
    <r>
      <rPr>
        <b/>
        <sz val="11"/>
        <color theme="1"/>
        <rFont val="Calibri"/>
        <family val="2"/>
        <scheme val="minor"/>
      </rPr>
      <t xml:space="preserve"> in </t>
    </r>
    <r>
      <rPr>
        <b/>
        <sz val="11"/>
        <color rgb="FFFF0000"/>
        <rFont val="Calibri"/>
        <family val="2"/>
        <scheme val="minor"/>
      </rPr>
      <t>2055</t>
    </r>
  </si>
  <si>
    <r>
      <t xml:space="preserve">% change in daily fish consumption per capita in </t>
    </r>
    <r>
      <rPr>
        <b/>
        <sz val="11"/>
        <color rgb="FFFF0000"/>
        <rFont val="Calibri"/>
        <family val="2"/>
        <scheme val="minor"/>
      </rPr>
      <t>2035</t>
    </r>
    <r>
      <rPr>
        <b/>
        <sz val="11"/>
        <color theme="1"/>
        <rFont val="Calibri"/>
        <family val="2"/>
        <scheme val="minor"/>
      </rPr>
      <t xml:space="preserve"> under </t>
    </r>
    <r>
      <rPr>
        <b/>
        <sz val="11"/>
        <color rgb="FFFF0000"/>
        <rFont val="Calibri"/>
        <family val="2"/>
        <scheme val="minor"/>
      </rPr>
      <t>RCP 2.6</t>
    </r>
    <r>
      <rPr>
        <b/>
        <sz val="11"/>
        <color theme="1"/>
        <rFont val="Calibri"/>
        <family val="2"/>
        <scheme val="minor"/>
      </rPr>
      <t xml:space="preserve"> relative to Reference Case projection for 2035</t>
    </r>
  </si>
  <si>
    <r>
      <t xml:space="preserve">% change in daily fish consumption per capita in </t>
    </r>
    <r>
      <rPr>
        <b/>
        <sz val="11"/>
        <color rgb="FFFF0000"/>
        <rFont val="Calibri"/>
        <family val="2"/>
        <scheme val="minor"/>
      </rPr>
      <t>2055</t>
    </r>
    <r>
      <rPr>
        <b/>
        <sz val="11"/>
        <color theme="1"/>
        <rFont val="Calibri"/>
        <family val="2"/>
        <scheme val="minor"/>
      </rPr>
      <t xml:space="preserve"> under </t>
    </r>
    <r>
      <rPr>
        <b/>
        <sz val="11"/>
        <color rgb="FFFF0000"/>
        <rFont val="Calibri"/>
        <family val="2"/>
        <scheme val="minor"/>
      </rPr>
      <t>RCP 2.6</t>
    </r>
    <r>
      <rPr>
        <b/>
        <sz val="11"/>
        <color theme="1"/>
        <rFont val="Calibri"/>
        <family val="2"/>
        <scheme val="minor"/>
      </rPr>
      <t xml:space="preserve"> relative to Reference Case projection for 2055</t>
    </r>
  </si>
  <si>
    <r>
      <t xml:space="preserve">% change in daily fish consumption per capita in </t>
    </r>
    <r>
      <rPr>
        <b/>
        <sz val="11"/>
        <color rgb="FFFF0000"/>
        <rFont val="Calibri"/>
        <family val="2"/>
        <scheme val="minor"/>
      </rPr>
      <t>2035</t>
    </r>
    <r>
      <rPr>
        <b/>
        <sz val="11"/>
        <color theme="1"/>
        <rFont val="Calibri"/>
        <family val="2"/>
        <scheme val="minor"/>
      </rPr>
      <t xml:space="preserve"> under </t>
    </r>
    <r>
      <rPr>
        <b/>
        <sz val="11"/>
        <color rgb="FFFF0000"/>
        <rFont val="Calibri"/>
        <family val="2"/>
        <scheme val="minor"/>
      </rPr>
      <t>RCP 8.5</t>
    </r>
    <r>
      <rPr>
        <b/>
        <sz val="11"/>
        <color theme="1"/>
        <rFont val="Calibri"/>
        <family val="2"/>
        <scheme val="minor"/>
      </rPr>
      <t xml:space="preserve"> relative to Reference Case projection for 2035</t>
    </r>
  </si>
  <si>
    <r>
      <t xml:space="preserve">% change in daily fish consumption per capita in </t>
    </r>
    <r>
      <rPr>
        <b/>
        <sz val="11"/>
        <color rgb="FFFF0000"/>
        <rFont val="Calibri"/>
        <family val="2"/>
        <scheme val="minor"/>
      </rPr>
      <t>2055</t>
    </r>
    <r>
      <rPr>
        <b/>
        <sz val="11"/>
        <color theme="1"/>
        <rFont val="Calibri"/>
        <family val="2"/>
        <scheme val="minor"/>
      </rPr>
      <t xml:space="preserve"> under </t>
    </r>
    <r>
      <rPr>
        <b/>
        <sz val="11"/>
        <color rgb="FFFF0000"/>
        <rFont val="Calibri"/>
        <family val="2"/>
        <scheme val="minor"/>
      </rPr>
      <t>RCP 8.5</t>
    </r>
    <r>
      <rPr>
        <b/>
        <sz val="11"/>
        <color theme="1"/>
        <rFont val="Calibri"/>
        <family val="2"/>
        <scheme val="minor"/>
      </rPr>
      <t xml:space="preserve"> relative to Reference Case projection for 2055</t>
    </r>
  </si>
  <si>
    <r>
      <t xml:space="preserve">% change in daily fish consumption per capita in </t>
    </r>
    <r>
      <rPr>
        <b/>
        <sz val="11"/>
        <color rgb="FFFF0000"/>
        <rFont val="Calibri"/>
        <family val="2"/>
        <scheme val="minor"/>
      </rPr>
      <t>2035</t>
    </r>
    <r>
      <rPr>
        <b/>
        <sz val="11"/>
        <color theme="1"/>
        <rFont val="Calibri"/>
        <family val="2"/>
        <scheme val="minor"/>
      </rPr>
      <t xml:space="preserve"> &amp; </t>
    </r>
    <r>
      <rPr>
        <b/>
        <sz val="11"/>
        <color rgb="FFFF0000"/>
        <rFont val="Calibri"/>
        <family val="2"/>
        <scheme val="minor"/>
      </rPr>
      <t>2055</t>
    </r>
    <r>
      <rPr>
        <b/>
        <sz val="11"/>
        <color theme="1"/>
        <rFont val="Calibri"/>
        <family val="2"/>
        <scheme val="minor"/>
      </rPr>
      <t xml:space="preserve"> under </t>
    </r>
    <r>
      <rPr>
        <b/>
        <sz val="11"/>
        <color rgb="FFFF0000"/>
        <rFont val="Calibri"/>
        <family val="2"/>
        <scheme val="minor"/>
      </rPr>
      <t>RCP 2.6</t>
    </r>
    <r>
      <rPr>
        <b/>
        <sz val="11"/>
        <rFont val="Calibri"/>
        <family val="2"/>
        <scheme val="minor"/>
      </rPr>
      <t xml:space="preserve"> &amp;</t>
    </r>
    <r>
      <rPr>
        <b/>
        <sz val="11"/>
        <color rgb="FFFF0000"/>
        <rFont val="Calibri"/>
        <family val="2"/>
        <scheme val="minor"/>
      </rPr>
      <t xml:space="preserve"> 8.5</t>
    </r>
    <r>
      <rPr>
        <b/>
        <sz val="11"/>
        <color theme="1"/>
        <rFont val="Calibri"/>
        <family val="2"/>
        <scheme val="minor"/>
      </rPr>
      <t xml:space="preserve"> relative to Reference Case projection for 2035 &amp; 2055</t>
    </r>
  </si>
  <si>
    <t>Market Supply-Demand Curves for RCP 2.6 in 2035 for:</t>
  </si>
  <si>
    <t>Market Supply-Demand Curves for RCP 2.6 in 2055 for:</t>
  </si>
  <si>
    <t>Market Supply-Demand Curves for RCP 8.5 in 2055 for:</t>
  </si>
  <si>
    <t>Market Supply-Demand Curves for RCP 8.5 in 2035 for:</t>
  </si>
  <si>
    <t>Sensitivity analysis:</t>
  </si>
  <si>
    <t>= % change in shift parameter</t>
  </si>
  <si>
    <t>Socioeconomic data for projecting future fish demand used in analysis</t>
  </si>
  <si>
    <t xml:space="preserve">= % change in assumptions </t>
  </si>
  <si>
    <t>Quantity of fish consumed - % change in Reference Case under Climate Scenarios</t>
  </si>
  <si>
    <t>Projected Reference Case</t>
  </si>
  <si>
    <t>Projected Climate Scenarios</t>
  </si>
  <si>
    <t>Price of fish consumed - % change in Reference Case under Climate Scenarios</t>
  </si>
  <si>
    <t>( tonnes )</t>
  </si>
  <si>
    <t xml:space="preserve">( US$ per tonne) </t>
  </si>
  <si>
    <t>Consumer surplus - % change in Reference Case under Climate Scenarios</t>
  </si>
  <si>
    <t>Producer surplus - % change in Reference Case under Climate Scenarios</t>
  </si>
  <si>
    <t>US$ million</t>
  </si>
  <si>
    <t>( US$ million )</t>
  </si>
  <si>
    <t>( US$ 000 )</t>
  </si>
  <si>
    <t>Consumer surplus - $000 change in Reference Case under Climate Scenarios (2010 prices)</t>
  </si>
  <si>
    <t>Producer surplus - $000 change in Reference Case under Climate Scenarios (2010 prices)</t>
  </si>
  <si>
    <r>
      <t xml:space="preserve">Net welfare change (consumer plus producer surplus) in </t>
    </r>
    <r>
      <rPr>
        <b/>
        <sz val="10"/>
        <color rgb="FFFF0000"/>
        <rFont val="Calibri"/>
        <family val="2"/>
        <scheme val="minor"/>
      </rPr>
      <t>2035</t>
    </r>
    <r>
      <rPr>
        <b/>
        <sz val="10"/>
        <color theme="1"/>
        <rFont val="Calibri"/>
        <family val="2"/>
        <scheme val="minor"/>
      </rPr>
      <t xml:space="preserve"> under</t>
    </r>
    <r>
      <rPr>
        <b/>
        <sz val="10"/>
        <color rgb="FFFF0000"/>
        <rFont val="Calibri"/>
        <family val="2"/>
        <scheme val="minor"/>
      </rPr>
      <t xml:space="preserve"> RCP 2.6</t>
    </r>
    <r>
      <rPr>
        <b/>
        <sz val="10"/>
        <color theme="1"/>
        <rFont val="Calibri"/>
        <family val="2"/>
        <scheme val="minor"/>
      </rPr>
      <t xml:space="preserve"> relative to projected Reference Case in 2035</t>
    </r>
  </si>
  <si>
    <r>
      <t xml:space="preserve">Net welfare change (consumer plus producer surplus) in </t>
    </r>
    <r>
      <rPr>
        <b/>
        <sz val="10"/>
        <color rgb="FFFF0000"/>
        <rFont val="Calibri"/>
        <family val="2"/>
        <scheme val="minor"/>
      </rPr>
      <t>2055</t>
    </r>
    <r>
      <rPr>
        <b/>
        <sz val="10"/>
        <color theme="1"/>
        <rFont val="Calibri"/>
        <family val="2"/>
        <scheme val="minor"/>
      </rPr>
      <t xml:space="preserve"> under</t>
    </r>
    <r>
      <rPr>
        <b/>
        <sz val="10"/>
        <color rgb="FFFF0000"/>
        <rFont val="Calibri"/>
        <family val="2"/>
        <scheme val="minor"/>
      </rPr>
      <t xml:space="preserve"> RCP 2.6</t>
    </r>
    <r>
      <rPr>
        <b/>
        <sz val="10"/>
        <color theme="1"/>
        <rFont val="Calibri"/>
        <family val="2"/>
        <scheme val="minor"/>
      </rPr>
      <t xml:space="preserve"> relative to projected Reference Case in 2055</t>
    </r>
  </si>
  <si>
    <r>
      <t xml:space="preserve">Net welfare change (consumer plus producer surplus) in </t>
    </r>
    <r>
      <rPr>
        <b/>
        <sz val="10"/>
        <color rgb="FFFF0000"/>
        <rFont val="Calibri"/>
        <family val="2"/>
        <scheme val="minor"/>
      </rPr>
      <t>2035</t>
    </r>
    <r>
      <rPr>
        <b/>
        <sz val="10"/>
        <color theme="1"/>
        <rFont val="Calibri"/>
        <family val="2"/>
        <scheme val="minor"/>
      </rPr>
      <t xml:space="preserve"> under</t>
    </r>
    <r>
      <rPr>
        <b/>
        <sz val="10"/>
        <color rgb="FFFF0000"/>
        <rFont val="Calibri"/>
        <family val="2"/>
        <scheme val="minor"/>
      </rPr>
      <t xml:space="preserve"> RCP 8.5</t>
    </r>
    <r>
      <rPr>
        <b/>
        <sz val="10"/>
        <color theme="1"/>
        <rFont val="Calibri"/>
        <family val="2"/>
        <scheme val="minor"/>
      </rPr>
      <t xml:space="preserve"> relative to projected Reference Case in 2035</t>
    </r>
  </si>
  <si>
    <r>
      <t xml:space="preserve">Net welfare change (consumer plus producer surplus) in </t>
    </r>
    <r>
      <rPr>
        <b/>
        <sz val="10"/>
        <color rgb="FFFF0000"/>
        <rFont val="Calibri"/>
        <family val="2"/>
        <scheme val="minor"/>
      </rPr>
      <t>2055</t>
    </r>
    <r>
      <rPr>
        <b/>
        <sz val="10"/>
        <color theme="1"/>
        <rFont val="Calibri"/>
        <family val="2"/>
        <scheme val="minor"/>
      </rPr>
      <t xml:space="preserve"> under</t>
    </r>
    <r>
      <rPr>
        <b/>
        <sz val="10"/>
        <color rgb="FFFF0000"/>
        <rFont val="Calibri"/>
        <family val="2"/>
        <scheme val="minor"/>
      </rPr>
      <t xml:space="preserve"> RCP 8.5</t>
    </r>
    <r>
      <rPr>
        <b/>
        <sz val="10"/>
        <color theme="1"/>
        <rFont val="Calibri"/>
        <family val="2"/>
        <scheme val="minor"/>
      </rPr>
      <t xml:space="preserve"> relative to projected Reference Case in 2055</t>
    </r>
  </si>
  <si>
    <t xml:space="preserve">= % change in elasticity demand </t>
  </si>
  <si>
    <t xml:space="preserve">= % change in elasticity supply </t>
  </si>
  <si>
    <t xml:space="preserve">= % change in elasticity income </t>
  </si>
  <si>
    <t>% shift in supply due to climate change used in analysis</t>
  </si>
  <si>
    <t>* Sourced from ecological assessment (Cheung, Reygondeau and Wabnitz, 2019)</t>
  </si>
  <si>
    <t>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</si>
</sst>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00_-;\-* #,##0.000_-;_-* &quot;-&quot;??_-;_-@_-"/>
    <numFmt numFmtId="167" formatCode="#,##0.000_ ;\-#,##0.000\ "/>
    <numFmt numFmtId="168" formatCode="0.000"/>
    <numFmt numFmtId="169" formatCode="#,##0.0"/>
    <numFmt numFmtId="170" formatCode="#,##0.000"/>
    <numFmt numFmtId="171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164" fontId="2" fillId="0" borderId="1" xfId="1" applyNumberFormat="1" applyFont="1" applyFill="1" applyBorder="1" applyAlignment="1">
      <alignment horizontal="left" vertical="center" indent="1"/>
    </xf>
    <xf numFmtId="49" fontId="2" fillId="0" borderId="1" xfId="1" applyNumberFormat="1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 indent="2"/>
    </xf>
    <xf numFmtId="165" fontId="2" fillId="0" borderId="1" xfId="2" applyNumberFormat="1" applyFont="1" applyFill="1" applyBorder="1" applyAlignment="1">
      <alignment horizontal="right" vertical="center" indent="2"/>
    </xf>
    <xf numFmtId="43" fontId="2" fillId="0" borderId="1" xfId="1" applyFont="1" applyFill="1" applyBorder="1" applyAlignment="1">
      <alignment horizontal="left" vertical="center" indent="1"/>
    </xf>
    <xf numFmtId="168" fontId="2" fillId="0" borderId="0" xfId="0" applyNumberFormat="1" applyFont="1" applyFill="1" applyAlignment="1">
      <alignment horizontal="right" vertical="center" indent="2"/>
    </xf>
    <xf numFmtId="3" fontId="2" fillId="0" borderId="0" xfId="0" applyNumberFormat="1" applyFont="1" applyFill="1" applyAlignment="1">
      <alignment horizontal="right" vertical="center" indent="2"/>
    </xf>
    <xf numFmtId="0" fontId="2" fillId="0" borderId="0" xfId="0" applyFont="1"/>
    <xf numFmtId="3" fontId="2" fillId="0" borderId="1" xfId="2" applyNumberFormat="1" applyFont="1" applyFill="1" applyBorder="1" applyAlignment="1">
      <alignment horizontal="right" vertical="center" indent="2"/>
    </xf>
    <xf numFmtId="169" fontId="2" fillId="0" borderId="1" xfId="0" applyNumberFormat="1" applyFont="1" applyFill="1" applyBorder="1" applyAlignment="1">
      <alignment horizontal="right" vertical="center" indent="2"/>
    </xf>
    <xf numFmtId="170" fontId="2" fillId="0" borderId="1" xfId="0" applyNumberFormat="1" applyFont="1" applyFill="1" applyBorder="1" applyAlignment="1">
      <alignment horizontal="right" vertical="center" indent="2"/>
    </xf>
    <xf numFmtId="3" fontId="3" fillId="0" borderId="1" xfId="0" applyNumberFormat="1" applyFont="1" applyFill="1" applyBorder="1" applyAlignment="1">
      <alignment horizontal="right" vertical="center" indent="2"/>
    </xf>
    <xf numFmtId="168" fontId="2" fillId="0" borderId="1" xfId="0" applyNumberFormat="1" applyFont="1" applyFill="1" applyBorder="1" applyAlignment="1">
      <alignment horizontal="right" vertical="center" indent="2"/>
    </xf>
    <xf numFmtId="169" fontId="3" fillId="0" borderId="1" xfId="0" applyNumberFormat="1" applyFont="1" applyFill="1" applyBorder="1" applyAlignment="1">
      <alignment horizontal="right" vertical="center" indent="2"/>
    </xf>
    <xf numFmtId="165" fontId="3" fillId="0" borderId="1" xfId="2" applyNumberFormat="1" applyFont="1" applyFill="1" applyBorder="1" applyAlignment="1">
      <alignment horizontal="right" vertical="center" indent="2"/>
    </xf>
    <xf numFmtId="3" fontId="2" fillId="0" borderId="0" xfId="0" applyNumberFormat="1" applyFont="1" applyAlignment="1">
      <alignment horizontal="right" vertical="center" indent="2"/>
    </xf>
    <xf numFmtId="0" fontId="3" fillId="0" borderId="1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6" fillId="0" borderId="2" xfId="0" applyFont="1" applyFill="1" applyBorder="1" applyAlignment="1">
      <alignment vertical="center"/>
    </xf>
    <xf numFmtId="165" fontId="6" fillId="0" borderId="2" xfId="2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164" fontId="2" fillId="0" borderId="0" xfId="1" applyNumberFormat="1" applyFont="1" applyFill="1" applyBorder="1" applyAlignment="1">
      <alignment vertical="center"/>
    </xf>
    <xf numFmtId="164" fontId="2" fillId="0" borderId="0" xfId="1" applyNumberFormat="1" applyFont="1" applyBorder="1" applyAlignment="1">
      <alignment horizontal="center" vertical="center"/>
    </xf>
    <xf numFmtId="165" fontId="2" fillId="0" borderId="0" xfId="2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1" fontId="2" fillId="0" borderId="1" xfId="1" applyNumberFormat="1" applyFont="1" applyFill="1" applyBorder="1" applyAlignment="1">
      <alignment horizontal="right" vertical="center" indent="2"/>
    </xf>
    <xf numFmtId="0" fontId="3" fillId="0" borderId="1" xfId="0" applyFont="1" applyBorder="1" applyAlignment="1">
      <alignment horizontal="center" vertical="center" wrapText="1"/>
    </xf>
    <xf numFmtId="171" fontId="2" fillId="0" borderId="1" xfId="1" applyNumberFormat="1" applyFont="1" applyBorder="1" applyAlignment="1">
      <alignment horizontal="right" vertical="center" indent="2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9" fontId="5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166" fontId="2" fillId="0" borderId="0" xfId="1" applyNumberFormat="1" applyFont="1"/>
    <xf numFmtId="3" fontId="2" fillId="0" borderId="0" xfId="0" applyNumberFormat="1" applyFont="1" applyAlignment="1">
      <alignment horizontal="right" vertical="center"/>
    </xf>
    <xf numFmtId="0" fontId="2" fillId="0" borderId="0" xfId="0" quotePrefix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69" fontId="2" fillId="0" borderId="0" xfId="1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 indent="2"/>
    </xf>
    <xf numFmtId="1" fontId="2" fillId="0" borderId="0" xfId="0" applyNumberFormat="1" applyFont="1" applyFill="1" applyAlignment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/>
    </xf>
    <xf numFmtId="169" fontId="2" fillId="0" borderId="1" xfId="0" applyNumberFormat="1" applyFont="1" applyFill="1" applyBorder="1" applyAlignment="1">
      <alignment horizontal="right" vertical="center"/>
    </xf>
    <xf numFmtId="165" fontId="2" fillId="0" borderId="1" xfId="2" applyNumberFormat="1" applyFont="1" applyFill="1" applyBorder="1" applyAlignment="1">
      <alignment horizontal="right" vertical="center"/>
    </xf>
    <xf numFmtId="169" fontId="6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9" fontId="3" fillId="0" borderId="1" xfId="0" applyNumberFormat="1" applyFont="1" applyFill="1" applyBorder="1" applyAlignment="1">
      <alignment horizontal="right" vertical="center"/>
    </xf>
    <xf numFmtId="165" fontId="3" fillId="0" borderId="1" xfId="2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0" fontId="2" fillId="0" borderId="1" xfId="2" applyNumberFormat="1" applyFont="1" applyFill="1" applyBorder="1" applyAlignment="1">
      <alignment horizontal="right" vertical="center"/>
    </xf>
    <xf numFmtId="169" fontId="2" fillId="0" borderId="0" xfId="0" applyNumberFormat="1" applyFont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5" fontId="2" fillId="0" borderId="0" xfId="2" applyNumberFormat="1" applyFont="1" applyFill="1" applyBorder="1" applyAlignment="1">
      <alignment horizontal="right" vertical="center"/>
    </xf>
    <xf numFmtId="165" fontId="3" fillId="0" borderId="0" xfId="2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right" vertical="center"/>
    </xf>
    <xf numFmtId="169" fontId="3" fillId="0" borderId="10" xfId="0" applyNumberFormat="1" applyFont="1" applyFill="1" applyBorder="1" applyAlignment="1">
      <alignment horizontal="right" vertical="center"/>
    </xf>
    <xf numFmtId="165" fontId="2" fillId="0" borderId="4" xfId="2" applyNumberFormat="1" applyFont="1" applyFill="1" applyBorder="1" applyAlignment="1">
      <alignment horizontal="right" vertical="center" indent="2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right" vertical="center" indent="1"/>
    </xf>
    <xf numFmtId="3" fontId="2" fillId="4" borderId="15" xfId="0" applyNumberFormat="1" applyFont="1" applyFill="1" applyBorder="1" applyAlignment="1">
      <alignment horizontal="right" vertical="center" indent="1"/>
    </xf>
    <xf numFmtId="3" fontId="2" fillId="4" borderId="5" xfId="0" applyNumberFormat="1" applyFont="1" applyFill="1" applyBorder="1" applyAlignment="1">
      <alignment horizontal="right" vertical="center" indent="1"/>
    </xf>
    <xf numFmtId="3" fontId="2" fillId="4" borderId="16" xfId="0" applyNumberFormat="1" applyFont="1" applyFill="1" applyBorder="1" applyAlignment="1">
      <alignment horizontal="right" vertical="center" indent="1"/>
    </xf>
    <xf numFmtId="3" fontId="3" fillId="4" borderId="5" xfId="0" applyNumberFormat="1" applyFont="1" applyFill="1" applyBorder="1" applyAlignment="1">
      <alignment horizontal="right" vertical="center" indent="1"/>
    </xf>
    <xf numFmtId="3" fontId="3" fillId="4" borderId="16" xfId="0" applyNumberFormat="1" applyFont="1" applyFill="1" applyBorder="1" applyAlignment="1">
      <alignment horizontal="right" vertical="center" inden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2" fillId="3" borderId="19" xfId="2" applyNumberFormat="1" applyFont="1" applyFill="1" applyBorder="1" applyAlignment="1">
      <alignment horizontal="right" vertical="center" indent="1"/>
    </xf>
    <xf numFmtId="165" fontId="2" fillId="3" borderId="15" xfId="2" applyNumberFormat="1" applyFont="1" applyFill="1" applyBorder="1" applyAlignment="1">
      <alignment horizontal="right" vertical="center" indent="1"/>
    </xf>
    <xf numFmtId="165" fontId="2" fillId="0" borderId="0" xfId="2" applyNumberFormat="1" applyFont="1" applyFill="1" applyBorder="1" applyAlignment="1">
      <alignment horizontal="right" vertical="center" indent="1"/>
    </xf>
    <xf numFmtId="165" fontId="2" fillId="3" borderId="6" xfId="2" applyNumberFormat="1" applyFont="1" applyFill="1" applyBorder="1" applyAlignment="1">
      <alignment horizontal="right" vertical="center" indent="1"/>
    </xf>
    <xf numFmtId="165" fontId="6" fillId="0" borderId="0" xfId="2" applyNumberFormat="1" applyFont="1" applyFill="1" applyAlignment="1">
      <alignment horizontal="right" vertical="center" indent="1"/>
    </xf>
    <xf numFmtId="169" fontId="2" fillId="4" borderId="6" xfId="0" applyNumberFormat="1" applyFont="1" applyFill="1" applyBorder="1" applyAlignment="1">
      <alignment horizontal="right" vertical="center" indent="1"/>
    </xf>
    <xf numFmtId="169" fontId="2" fillId="4" borderId="15" xfId="0" applyNumberFormat="1" applyFont="1" applyFill="1" applyBorder="1" applyAlignment="1">
      <alignment horizontal="right" vertical="center" indent="1"/>
    </xf>
    <xf numFmtId="169" fontId="3" fillId="4" borderId="6" xfId="0" applyNumberFormat="1" applyFont="1" applyFill="1" applyBorder="1" applyAlignment="1">
      <alignment horizontal="right" vertical="center" indent="1"/>
    </xf>
    <xf numFmtId="169" fontId="3" fillId="4" borderId="15" xfId="0" applyNumberFormat="1" applyFont="1" applyFill="1" applyBorder="1" applyAlignment="1">
      <alignment horizontal="right" vertical="center" indent="1"/>
    </xf>
    <xf numFmtId="165" fontId="3" fillId="3" borderId="19" xfId="2" applyNumberFormat="1" applyFont="1" applyFill="1" applyBorder="1" applyAlignment="1">
      <alignment horizontal="right" vertical="center" indent="1"/>
    </xf>
    <xf numFmtId="165" fontId="3" fillId="3" borderId="15" xfId="2" applyNumberFormat="1" applyFont="1" applyFill="1" applyBorder="1" applyAlignment="1">
      <alignment horizontal="right" vertical="center" indent="1"/>
    </xf>
    <xf numFmtId="165" fontId="3" fillId="0" borderId="0" xfId="2" applyNumberFormat="1" applyFont="1" applyFill="1" applyBorder="1" applyAlignment="1">
      <alignment horizontal="right" vertical="center" indent="1"/>
    </xf>
    <xf numFmtId="165" fontId="3" fillId="3" borderId="6" xfId="2" applyNumberFormat="1" applyFont="1" applyFill="1" applyBorder="1" applyAlignment="1">
      <alignment horizontal="right" vertical="center" indent="1"/>
    </xf>
    <xf numFmtId="165" fontId="7" fillId="0" borderId="0" xfId="2" applyNumberFormat="1" applyFont="1" applyFill="1" applyAlignment="1">
      <alignment horizontal="right" vertical="center" indent="1"/>
    </xf>
    <xf numFmtId="3" fontId="3" fillId="4" borderId="6" xfId="0" applyNumberFormat="1" applyFont="1" applyFill="1" applyBorder="1" applyAlignment="1">
      <alignment horizontal="right" vertical="center" indent="1"/>
    </xf>
    <xf numFmtId="3" fontId="2" fillId="3" borderId="19" xfId="2" applyNumberFormat="1" applyFont="1" applyFill="1" applyBorder="1" applyAlignment="1">
      <alignment horizontal="right" vertical="center" indent="1"/>
    </xf>
    <xf numFmtId="3" fontId="3" fillId="3" borderId="19" xfId="2" applyNumberFormat="1" applyFont="1" applyFill="1" applyBorder="1" applyAlignment="1">
      <alignment horizontal="right" vertical="center" indent="1"/>
    </xf>
    <xf numFmtId="167" fontId="2" fillId="0" borderId="1" xfId="1" applyNumberFormat="1" applyFont="1" applyFill="1" applyBorder="1" applyAlignment="1">
      <alignment horizontal="right" vertical="center" indent="3"/>
    </xf>
    <xf numFmtId="167" fontId="4" fillId="0" borderId="1" xfId="1" applyNumberFormat="1" applyFont="1" applyFill="1" applyBorder="1" applyAlignment="1">
      <alignment horizontal="right" vertical="center" indent="3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171" fontId="2" fillId="2" borderId="1" xfId="1" applyNumberFormat="1" applyFont="1" applyFill="1" applyBorder="1" applyAlignment="1" applyProtection="1">
      <alignment horizontal="right" vertical="center" indent="2"/>
      <protection locked="0"/>
    </xf>
    <xf numFmtId="165" fontId="2" fillId="2" borderId="4" xfId="2" applyNumberFormat="1" applyFont="1" applyFill="1" applyBorder="1" applyAlignment="1" applyProtection="1">
      <alignment horizontal="right" vertical="center" indent="2"/>
      <protection locked="0"/>
    </xf>
    <xf numFmtId="167" fontId="2" fillId="2" borderId="1" xfId="1" applyNumberFormat="1" applyFont="1" applyFill="1" applyBorder="1" applyAlignment="1" applyProtection="1">
      <alignment horizontal="right" vertical="center" indent="3"/>
      <protection locked="0"/>
    </xf>
    <xf numFmtId="167" fontId="4" fillId="2" borderId="1" xfId="1" applyNumberFormat="1" applyFont="1" applyFill="1" applyBorder="1" applyAlignment="1" applyProtection="1">
      <alignment horizontal="right" vertical="center" indent="3"/>
      <protection locked="0"/>
    </xf>
    <xf numFmtId="0" fontId="7" fillId="2" borderId="0" xfId="0" applyFont="1" applyFill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27173838916722"/>
          <c:y val="7.0568297053634682E-2"/>
          <c:w val="0.78611567151054074"/>
          <c:h val="0.79322591365321293"/>
        </c:manualLayout>
      </c:layout>
      <c:scatterChart>
        <c:scatterStyle val="smoothMarker"/>
        <c:varyColors val="0"/>
        <c:ser>
          <c:idx val="0"/>
          <c:order val="0"/>
          <c:tx>
            <c:v>D0</c:v>
          </c:tx>
          <c:spPr>
            <a:ln w="19050" cap="flat" cmpd="sng" algn="ctr">
              <a:solidFill>
                <a:srgbClr val="C0000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Curves'!$H$12:$H$14</c:f>
              <c:numCache>
                <c:formatCode>#,##0</c:formatCode>
                <c:ptCount val="3"/>
                <c:pt idx="0">
                  <c:v>418.14550056834003</c:v>
                </c:pt>
                <c:pt idx="1">
                  <c:v>0</c:v>
                </c:pt>
                <c:pt idx="2">
                  <c:v>664.4332004030922</c:v>
                </c:pt>
              </c:numCache>
            </c:numRef>
          </c:xVal>
          <c:yVal>
            <c:numRef>
              <c:f>'Supply &amp; Demand Curves'!$G$12:$G$14</c:f>
              <c:numCache>
                <c:formatCode>#,##0</c:formatCode>
                <c:ptCount val="3"/>
                <c:pt idx="0">
                  <c:v>5340.8921131297102</c:v>
                </c:pt>
                <c:pt idx="1">
                  <c:v>14408.620658341442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1C-4000-A614-6F4463B7DB34}"/>
            </c:ext>
          </c:extLst>
        </c:ser>
        <c:ser>
          <c:idx val="1"/>
          <c:order val="1"/>
          <c:tx>
            <c:v>S0</c:v>
          </c:tx>
          <c:spPr>
            <a:ln w="19050" cap="flat" cmpd="sng" algn="ctr">
              <a:solidFill>
                <a:srgbClr val="0070C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Curves'!$H$16:$H$18</c:f>
              <c:numCache>
                <c:formatCode>#,##0</c:formatCode>
                <c:ptCount val="3"/>
                <c:pt idx="0">
                  <c:v>664.4332004030922</c:v>
                </c:pt>
                <c:pt idx="1">
                  <c:v>418.14550056834003</c:v>
                </c:pt>
                <c:pt idx="2">
                  <c:v>258.41391935123409</c:v>
                </c:pt>
              </c:numCache>
            </c:numRef>
          </c:xVal>
          <c:yVal>
            <c:numRef>
              <c:f>'Supply &amp; Demand Curves'!$G$16:$G$18</c:f>
              <c:numCache>
                <c:formatCode>#,##0</c:formatCode>
                <c:ptCount val="3"/>
                <c:pt idx="0">
                  <c:v>13575.932570285204</c:v>
                </c:pt>
                <c:pt idx="1">
                  <c:v>5340.8921131297102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1C-4000-A614-6F4463B7DB34}"/>
            </c:ext>
          </c:extLst>
        </c:ser>
        <c:ser>
          <c:idx val="2"/>
          <c:order val="2"/>
          <c:tx>
            <c:v>P0</c:v>
          </c:tx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Curves'!$H$21:$H$22</c:f>
              <c:numCache>
                <c:formatCode>#,##0</c:formatCode>
                <c:ptCount val="2"/>
                <c:pt idx="0">
                  <c:v>0</c:v>
                </c:pt>
                <c:pt idx="1">
                  <c:v>418.14550056834003</c:v>
                </c:pt>
              </c:numCache>
            </c:numRef>
          </c:xVal>
          <c:yVal>
            <c:numRef>
              <c:f>'Supply &amp; Demand Curves'!$G$21:$G$22</c:f>
              <c:numCache>
                <c:formatCode>#,##0</c:formatCode>
                <c:ptCount val="2"/>
                <c:pt idx="0">
                  <c:v>5340.8921131297102</c:v>
                </c:pt>
                <c:pt idx="1">
                  <c:v>5340.8921131297102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41C-4000-A614-6F4463B7DB34}"/>
            </c:ext>
          </c:extLst>
        </c:ser>
        <c:ser>
          <c:idx val="3"/>
          <c:order val="3"/>
          <c:tx>
            <c:v>Q0</c:v>
          </c:tx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Curves'!$H$24:$H$25</c:f>
              <c:numCache>
                <c:formatCode>#,##0</c:formatCode>
                <c:ptCount val="2"/>
                <c:pt idx="0">
                  <c:v>418.14550056834003</c:v>
                </c:pt>
                <c:pt idx="1">
                  <c:v>418.14550056834003</c:v>
                </c:pt>
              </c:numCache>
            </c:numRef>
          </c:xVal>
          <c:yVal>
            <c:numRef>
              <c:f>'Supply &amp; Demand Curves'!$G$24:$G$25</c:f>
              <c:numCache>
                <c:formatCode>#,##0</c:formatCode>
                <c:ptCount val="2"/>
                <c:pt idx="0">
                  <c:v>5340.8921131297102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41C-4000-A614-6F4463B7D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5873720"/>
        <c:axId val="1255872736"/>
      </c:scatterChart>
      <c:valAx>
        <c:axId val="1255873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Quantity (tonnes)</a:t>
                </a:r>
              </a:p>
            </c:rich>
          </c:tx>
          <c:layout>
            <c:manualLayout>
              <c:xMode val="edge"/>
              <c:yMode val="edge"/>
              <c:x val="0.41841782415466705"/>
              <c:y val="0.932186473839827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872736"/>
        <c:crosses val="autoZero"/>
        <c:crossBetween val="midCat"/>
      </c:valAx>
      <c:valAx>
        <c:axId val="125587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Price (US$ 2010 per tonne)</a:t>
                </a:r>
              </a:p>
            </c:rich>
          </c:tx>
          <c:layout>
            <c:manualLayout>
              <c:xMode val="edge"/>
              <c:yMode val="edge"/>
              <c:x val="7.6012306976657364E-3"/>
              <c:y val="0.243011398425570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873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6733870244093632"/>
          <c:y val="1.6284991627761852E-2"/>
          <c:w val="0.77016591877711249"/>
          <c:h val="5.2371635476918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84778682179636E-2"/>
          <c:y val="3.8812110489771609E-2"/>
          <c:w val="0.61888619783725463"/>
          <c:h val="0.87279629448529084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5400"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strRef>
              <c:f>'Base &amp; Ref. Case Calcs.'!$D$6:$D$11</c:f>
              <c:strCache>
                <c:ptCount val="6"/>
                <c:pt idx="0">
                  <c:v>Demersals</c:v>
                </c:pt>
                <c:pt idx="1">
                  <c:v>Tuna &amp; billfishes</c:v>
                </c:pt>
                <c:pt idx="2">
                  <c:v>Other palegic</c:v>
                </c:pt>
                <c:pt idx="3">
                  <c:v>Other marine</c:v>
                </c:pt>
                <c:pt idx="4">
                  <c:v>Crustaceans</c:v>
                </c:pt>
                <c:pt idx="5">
                  <c:v>All species</c:v>
                </c:pt>
              </c:strCache>
            </c:strRef>
          </c:cat>
          <c:val>
            <c:numRef>
              <c:f>'Climate Case Calcs.'!$W$6:$W$11</c:f>
              <c:numCache>
                <c:formatCode>0.0%</c:formatCode>
                <c:ptCount val="6"/>
                <c:pt idx="0">
                  <c:v>-4.2200692869293954E-2</c:v>
                </c:pt>
                <c:pt idx="1">
                  <c:v>-1.716528198942302E-2</c:v>
                </c:pt>
                <c:pt idx="2">
                  <c:v>-5.7701688885291702E-2</c:v>
                </c:pt>
                <c:pt idx="3">
                  <c:v>-5.026333467369426E-2</c:v>
                </c:pt>
                <c:pt idx="4">
                  <c:v>0</c:v>
                </c:pt>
                <c:pt idx="5">
                  <c:v>-4.8554567257532266E-2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F-4C0A-A332-3D7EA2805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8733608"/>
        <c:axId val="558734264"/>
      </c:barChart>
      <c:catAx>
        <c:axId val="558733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34264"/>
        <c:crosses val="autoZero"/>
        <c:auto val="1"/>
        <c:lblAlgn val="ctr"/>
        <c:lblOffset val="100"/>
        <c:noMultiLvlLbl val="0"/>
      </c:catAx>
      <c:valAx>
        <c:axId val="558734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33608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84778682179636E-2"/>
          <c:y val="3.8812110489771609E-2"/>
          <c:w val="0.61888619783725463"/>
          <c:h val="0.87279629448529084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5400"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strRef>
              <c:f>'Base &amp; Ref. Case Calcs.'!$D$6:$D$11</c:f>
              <c:strCache>
                <c:ptCount val="6"/>
                <c:pt idx="0">
                  <c:v>Demersals</c:v>
                </c:pt>
                <c:pt idx="1">
                  <c:v>Tuna &amp; billfishes</c:v>
                </c:pt>
                <c:pt idx="2">
                  <c:v>Other palegic</c:v>
                </c:pt>
                <c:pt idx="3">
                  <c:v>Other marine</c:v>
                </c:pt>
                <c:pt idx="4">
                  <c:v>Crustaceans</c:v>
                </c:pt>
                <c:pt idx="5">
                  <c:v>All species</c:v>
                </c:pt>
              </c:strCache>
            </c:strRef>
          </c:cat>
          <c:val>
            <c:numRef>
              <c:f>'Climate Case Calcs.'!$AD$6:$AD$11</c:f>
              <c:numCache>
                <c:formatCode>0.0%</c:formatCode>
                <c:ptCount val="6"/>
                <c:pt idx="0">
                  <c:v>-4.2549626164452792E-2</c:v>
                </c:pt>
                <c:pt idx="1">
                  <c:v>-1.9275957235635466E-2</c:v>
                </c:pt>
                <c:pt idx="2">
                  <c:v>-6.760434573830254E-2</c:v>
                </c:pt>
                <c:pt idx="3">
                  <c:v>-5.7135606486035218E-2</c:v>
                </c:pt>
                <c:pt idx="4">
                  <c:v>0</c:v>
                </c:pt>
                <c:pt idx="5">
                  <c:v>-5.5007197114912532E-2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1-47EA-A86C-C4B993DCD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8733608"/>
        <c:axId val="558734264"/>
      </c:barChart>
      <c:catAx>
        <c:axId val="558733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34264"/>
        <c:crosses val="autoZero"/>
        <c:auto val="1"/>
        <c:lblAlgn val="ctr"/>
        <c:lblOffset val="100"/>
        <c:noMultiLvlLbl val="0"/>
      </c:catAx>
      <c:valAx>
        <c:axId val="558734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33608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10196238297342"/>
          <c:y val="3.8812110489771609E-2"/>
          <c:w val="0.54587451493426464"/>
          <c:h val="0.87279629448529084"/>
        </c:manualLayout>
      </c:layout>
      <c:barChart>
        <c:barDir val="bar"/>
        <c:grouping val="clustered"/>
        <c:varyColors val="0"/>
        <c:ser>
          <c:idx val="0"/>
          <c:order val="0"/>
          <c:tx>
            <c:v>RCP 2.6 (2035)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'Base &amp; Ref. Case Calcs.'!$D$6:$D$11</c:f>
              <c:strCache>
                <c:ptCount val="6"/>
                <c:pt idx="0">
                  <c:v>Demersals</c:v>
                </c:pt>
                <c:pt idx="1">
                  <c:v>Tuna &amp; billfishes</c:v>
                </c:pt>
                <c:pt idx="2">
                  <c:v>Other palegic</c:v>
                </c:pt>
                <c:pt idx="3">
                  <c:v>Other marine</c:v>
                </c:pt>
                <c:pt idx="4">
                  <c:v>Crustaceans</c:v>
                </c:pt>
                <c:pt idx="5">
                  <c:v>All species</c:v>
                </c:pt>
              </c:strCache>
            </c:strRef>
          </c:cat>
          <c:val>
            <c:numRef>
              <c:f>'Climate Case Calcs.'!$I$6:$I$11</c:f>
              <c:numCache>
                <c:formatCode>0.0%</c:formatCode>
                <c:ptCount val="6"/>
                <c:pt idx="0">
                  <c:v>-3.0429475457792066E-2</c:v>
                </c:pt>
                <c:pt idx="1">
                  <c:v>-1.2496325288300025E-2</c:v>
                </c:pt>
                <c:pt idx="2">
                  <c:v>-4.2526599052466807E-2</c:v>
                </c:pt>
                <c:pt idx="3">
                  <c:v>-3.6880779373656525E-2</c:v>
                </c:pt>
                <c:pt idx="4">
                  <c:v>0</c:v>
                </c:pt>
                <c:pt idx="5">
                  <c:v>-3.5608001551968194E-2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E-4757-9460-EBEB761D9F47}"/>
            </c:ext>
          </c:extLst>
        </c:ser>
        <c:ser>
          <c:idx val="1"/>
          <c:order val="1"/>
          <c:tx>
            <c:v>RCP 8.5 (2035)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'Climate Case Calcs.'!$W$6:$W$11</c:f>
              <c:numCache>
                <c:formatCode>0.0%</c:formatCode>
                <c:ptCount val="6"/>
                <c:pt idx="0">
                  <c:v>-4.2200692869293954E-2</c:v>
                </c:pt>
                <c:pt idx="1">
                  <c:v>-1.716528198942302E-2</c:v>
                </c:pt>
                <c:pt idx="2">
                  <c:v>-5.7701688885291702E-2</c:v>
                </c:pt>
                <c:pt idx="3">
                  <c:v>-5.026333467369426E-2</c:v>
                </c:pt>
                <c:pt idx="4">
                  <c:v>0</c:v>
                </c:pt>
                <c:pt idx="5">
                  <c:v>-4.8554567257532266E-2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EE-4757-9460-EBEB761D9F47}"/>
            </c:ext>
          </c:extLst>
        </c:ser>
        <c:ser>
          <c:idx val="2"/>
          <c:order val="2"/>
          <c:tx>
            <c:v>RCP 2.6 (2055)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'Climate Case Calcs.'!$P$6:$P$11</c:f>
              <c:numCache>
                <c:formatCode>0.0%</c:formatCode>
                <c:ptCount val="6"/>
                <c:pt idx="0">
                  <c:v>-3.8873782339324814E-2</c:v>
                </c:pt>
                <c:pt idx="1">
                  <c:v>-1.4543377390196621E-2</c:v>
                </c:pt>
                <c:pt idx="2">
                  <c:v>-5.0759558725560927E-2</c:v>
                </c:pt>
                <c:pt idx="3">
                  <c:v>-4.4588407308657096E-2</c:v>
                </c:pt>
                <c:pt idx="4">
                  <c:v>0</c:v>
                </c:pt>
                <c:pt idx="5">
                  <c:v>-4.2996540961082297E-2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EE-4757-9460-EBEB761D9F47}"/>
            </c:ext>
          </c:extLst>
        </c:ser>
        <c:ser>
          <c:idx val="3"/>
          <c:order val="3"/>
          <c:tx>
            <c:v>RCP 8.5 (2055)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'Climate Case Calcs.'!$AD$6:$AD$11</c:f>
              <c:numCache>
                <c:formatCode>0.0%</c:formatCode>
                <c:ptCount val="6"/>
                <c:pt idx="0">
                  <c:v>-4.2549626164452792E-2</c:v>
                </c:pt>
                <c:pt idx="1">
                  <c:v>-1.9275957235635466E-2</c:v>
                </c:pt>
                <c:pt idx="2">
                  <c:v>-6.760434573830254E-2</c:v>
                </c:pt>
                <c:pt idx="3">
                  <c:v>-5.7135606486035218E-2</c:v>
                </c:pt>
                <c:pt idx="4">
                  <c:v>0</c:v>
                </c:pt>
                <c:pt idx="5">
                  <c:v>-5.5007197114912532E-2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EE-4757-9460-EBEB761D9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8733608"/>
        <c:axId val="558734264"/>
      </c:barChart>
      <c:catAx>
        <c:axId val="558733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34264"/>
        <c:crosses val="autoZero"/>
        <c:auto val="1"/>
        <c:lblAlgn val="ctr"/>
        <c:lblOffset val="100"/>
        <c:noMultiLvlLbl val="0"/>
      </c:catAx>
      <c:valAx>
        <c:axId val="558734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33608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4236276985638362E-2"/>
          <c:y val="0.3068207074972662"/>
          <c:w val="0.16462273959401949"/>
          <c:h val="0.340489727153919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611292746080474E-2"/>
          <c:y val="4.0854224698235839E-2"/>
          <c:w val="0.67937782886967191"/>
          <c:h val="0.7790839237017378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'Welfare Change Outputs'!$B$41:$B$46</c:f>
              <c:strCache>
                <c:ptCount val="6"/>
                <c:pt idx="0">
                  <c:v>Demersals</c:v>
                </c:pt>
                <c:pt idx="1">
                  <c:v>Tuna &amp; billfishes</c:v>
                </c:pt>
                <c:pt idx="2">
                  <c:v>Other palegic</c:v>
                </c:pt>
                <c:pt idx="3">
                  <c:v>Other marine</c:v>
                </c:pt>
                <c:pt idx="4">
                  <c:v>Crustaceans</c:v>
                </c:pt>
                <c:pt idx="5">
                  <c:v>All species</c:v>
                </c:pt>
              </c:strCache>
            </c:strRef>
          </c:cat>
          <c:val>
            <c:numRef>
              <c:f>'Welfare Change Outputs'!$F$41:$F$46</c:f>
              <c:numCache>
                <c:formatCode>#,##0</c:formatCode>
                <c:ptCount val="6"/>
                <c:pt idx="0">
                  <c:v>-130</c:v>
                </c:pt>
                <c:pt idx="1">
                  <c:v>-10</c:v>
                </c:pt>
                <c:pt idx="2">
                  <c:v>-220</c:v>
                </c:pt>
                <c:pt idx="3">
                  <c:v>-20</c:v>
                </c:pt>
                <c:pt idx="4">
                  <c:v>0</c:v>
                </c:pt>
                <c:pt idx="5">
                  <c:v>-380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7-4385-BDC6-00E3FFA06DE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'Welfare Change Outputs'!$B$41:$B$46</c:f>
              <c:strCache>
                <c:ptCount val="6"/>
                <c:pt idx="0">
                  <c:v>Demersals</c:v>
                </c:pt>
                <c:pt idx="1">
                  <c:v>Tuna &amp; billfishes</c:v>
                </c:pt>
                <c:pt idx="2">
                  <c:v>Other palegic</c:v>
                </c:pt>
                <c:pt idx="3">
                  <c:v>Other marine</c:v>
                </c:pt>
                <c:pt idx="4">
                  <c:v>Crustaceans</c:v>
                </c:pt>
                <c:pt idx="5">
                  <c:v>All species</c:v>
                </c:pt>
              </c:strCache>
            </c:strRef>
          </c:cat>
          <c:val>
            <c:numRef>
              <c:f>'Welfare Change Outputs'!$P$41:$P$46</c:f>
              <c:numCache>
                <c:formatCode>#,##0</c:formatCode>
                <c:ptCount val="6"/>
                <c:pt idx="0">
                  <c:v>-10</c:v>
                </c:pt>
                <c:pt idx="1">
                  <c:v>0</c:v>
                </c:pt>
                <c:pt idx="2">
                  <c:v>-10</c:v>
                </c:pt>
                <c:pt idx="3">
                  <c:v>0</c:v>
                </c:pt>
                <c:pt idx="4">
                  <c:v>0</c:v>
                </c:pt>
                <c:pt idx="5">
                  <c:v>-30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07-4385-BDC6-00E3FFA06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70102160"/>
        <c:axId val="470600392"/>
      </c:barChart>
      <c:catAx>
        <c:axId val="570102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600392"/>
        <c:crosses val="autoZero"/>
        <c:auto val="1"/>
        <c:lblAlgn val="ctr"/>
        <c:lblOffset val="100"/>
        <c:noMultiLvlLbl val="0"/>
      </c:catAx>
      <c:valAx>
        <c:axId val="470600392"/>
        <c:scaling>
          <c:orientation val="minMax"/>
          <c:max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Net Welfare Change ( 000 US $ 2010 )</a:t>
                </a:r>
              </a:p>
            </c:rich>
          </c:tx>
          <c:layout>
            <c:manualLayout>
              <c:xMode val="edge"/>
              <c:yMode val="edge"/>
              <c:x val="0.2223588591557886"/>
              <c:y val="0.92206113511577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0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611292746080474E-2"/>
          <c:y val="4.0854224698235839E-2"/>
          <c:w val="0.67937782886967191"/>
          <c:h val="0.7790839237017378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'Welfare Change Outputs'!$B$41:$B$46</c:f>
              <c:strCache>
                <c:ptCount val="6"/>
                <c:pt idx="0">
                  <c:v>Demersals</c:v>
                </c:pt>
                <c:pt idx="1">
                  <c:v>Tuna &amp; billfishes</c:v>
                </c:pt>
                <c:pt idx="2">
                  <c:v>Other palegic</c:v>
                </c:pt>
                <c:pt idx="3">
                  <c:v>Other marine</c:v>
                </c:pt>
                <c:pt idx="4">
                  <c:v>Crustaceans</c:v>
                </c:pt>
                <c:pt idx="5">
                  <c:v>All species</c:v>
                </c:pt>
              </c:strCache>
            </c:strRef>
          </c:cat>
          <c:val>
            <c:numRef>
              <c:f>'Welfare Change Outputs'!$I$41:$I$46</c:f>
              <c:numCache>
                <c:formatCode>#,##0</c:formatCode>
                <c:ptCount val="6"/>
                <c:pt idx="0">
                  <c:v>-180</c:v>
                </c:pt>
                <c:pt idx="1">
                  <c:v>-20</c:v>
                </c:pt>
                <c:pt idx="2">
                  <c:v>-290</c:v>
                </c:pt>
                <c:pt idx="3">
                  <c:v>-30</c:v>
                </c:pt>
                <c:pt idx="4">
                  <c:v>0</c:v>
                </c:pt>
                <c:pt idx="5">
                  <c:v>-510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7-4301-9215-21036BC89E5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'Welfare Change Outputs'!$B$41:$B$46</c:f>
              <c:strCache>
                <c:ptCount val="6"/>
                <c:pt idx="0">
                  <c:v>Demersals</c:v>
                </c:pt>
                <c:pt idx="1">
                  <c:v>Tuna &amp; billfishes</c:v>
                </c:pt>
                <c:pt idx="2">
                  <c:v>Other palegic</c:v>
                </c:pt>
                <c:pt idx="3">
                  <c:v>Other marine</c:v>
                </c:pt>
                <c:pt idx="4">
                  <c:v>Crustaceans</c:v>
                </c:pt>
                <c:pt idx="5">
                  <c:v>All species</c:v>
                </c:pt>
              </c:strCache>
            </c:strRef>
          </c:cat>
          <c:val>
            <c:numRef>
              <c:f>'Welfare Change Outputs'!$S$41:$S$46</c:f>
              <c:numCache>
                <c:formatCode>#,##0</c:formatCode>
                <c:ptCount val="6"/>
                <c:pt idx="0">
                  <c:v>-20</c:v>
                </c:pt>
                <c:pt idx="1">
                  <c:v>0</c:v>
                </c:pt>
                <c:pt idx="2">
                  <c:v>-20</c:v>
                </c:pt>
                <c:pt idx="3">
                  <c:v>0</c:v>
                </c:pt>
                <c:pt idx="4">
                  <c:v>0</c:v>
                </c:pt>
                <c:pt idx="5">
                  <c:v>-50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97-4301-9215-21036BC89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70102160"/>
        <c:axId val="470600392"/>
      </c:barChart>
      <c:catAx>
        <c:axId val="570102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600392"/>
        <c:crosses val="autoZero"/>
        <c:auto val="1"/>
        <c:lblAlgn val="ctr"/>
        <c:lblOffset val="100"/>
        <c:noMultiLvlLbl val="0"/>
      </c:catAx>
      <c:valAx>
        <c:axId val="470600392"/>
        <c:scaling>
          <c:orientation val="minMax"/>
          <c:max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Net Welfare Change ( 000 US $ 2010 )</a:t>
                </a:r>
              </a:p>
            </c:rich>
          </c:tx>
          <c:layout>
            <c:manualLayout>
              <c:xMode val="edge"/>
              <c:yMode val="edge"/>
              <c:x val="0.2223588591557886"/>
              <c:y val="0.92206113511577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0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611292746080474E-2"/>
          <c:y val="4.0854224698235839E-2"/>
          <c:w val="0.67937782886967191"/>
          <c:h val="0.7790839237017378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'Welfare Change Outputs'!$B$41:$B$46</c:f>
              <c:strCache>
                <c:ptCount val="6"/>
                <c:pt idx="0">
                  <c:v>Demersals</c:v>
                </c:pt>
                <c:pt idx="1">
                  <c:v>Tuna &amp; billfishes</c:v>
                </c:pt>
                <c:pt idx="2">
                  <c:v>Other palegic</c:v>
                </c:pt>
                <c:pt idx="3">
                  <c:v>Other marine</c:v>
                </c:pt>
                <c:pt idx="4">
                  <c:v>Crustaceans</c:v>
                </c:pt>
                <c:pt idx="5">
                  <c:v>All species</c:v>
                </c:pt>
              </c:strCache>
            </c:strRef>
          </c:cat>
          <c:val>
            <c:numRef>
              <c:f>'Welfare Change Outputs'!$G$41:$G$46</c:f>
              <c:numCache>
                <c:formatCode>#,##0</c:formatCode>
                <c:ptCount val="6"/>
                <c:pt idx="0">
                  <c:v>-170</c:v>
                </c:pt>
                <c:pt idx="1">
                  <c:v>-20</c:v>
                </c:pt>
                <c:pt idx="2">
                  <c:v>-260</c:v>
                </c:pt>
                <c:pt idx="3">
                  <c:v>-20</c:v>
                </c:pt>
                <c:pt idx="4">
                  <c:v>0</c:v>
                </c:pt>
                <c:pt idx="5">
                  <c:v>-470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7C-48DB-AE29-276C64C1754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'Welfare Change Outputs'!$B$41:$B$46</c:f>
              <c:strCache>
                <c:ptCount val="6"/>
                <c:pt idx="0">
                  <c:v>Demersals</c:v>
                </c:pt>
                <c:pt idx="1">
                  <c:v>Tuna &amp; billfishes</c:v>
                </c:pt>
                <c:pt idx="2">
                  <c:v>Other palegic</c:v>
                </c:pt>
                <c:pt idx="3">
                  <c:v>Other marine</c:v>
                </c:pt>
                <c:pt idx="4">
                  <c:v>Crustaceans</c:v>
                </c:pt>
                <c:pt idx="5">
                  <c:v>All species</c:v>
                </c:pt>
              </c:strCache>
            </c:strRef>
          </c:cat>
          <c:val>
            <c:numRef>
              <c:f>'Welfare Change Outputs'!$Q$41:$Q$46</c:f>
              <c:numCache>
                <c:formatCode>#,##0</c:formatCode>
                <c:ptCount val="6"/>
                <c:pt idx="0">
                  <c:v>-20</c:v>
                </c:pt>
                <c:pt idx="1">
                  <c:v>0</c:v>
                </c:pt>
                <c:pt idx="2">
                  <c:v>-20</c:v>
                </c:pt>
                <c:pt idx="3">
                  <c:v>0</c:v>
                </c:pt>
                <c:pt idx="4">
                  <c:v>0</c:v>
                </c:pt>
                <c:pt idx="5">
                  <c:v>-50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7C-48DB-AE29-276C64C17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70102160"/>
        <c:axId val="470600392"/>
      </c:barChart>
      <c:catAx>
        <c:axId val="570102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600392"/>
        <c:crosses val="autoZero"/>
        <c:auto val="1"/>
        <c:lblAlgn val="ctr"/>
        <c:lblOffset val="100"/>
        <c:noMultiLvlLbl val="0"/>
      </c:catAx>
      <c:valAx>
        <c:axId val="470600392"/>
        <c:scaling>
          <c:orientation val="minMax"/>
          <c:max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Net Welfare Change ( 000 US $ 2010 )</a:t>
                </a:r>
              </a:p>
            </c:rich>
          </c:tx>
          <c:layout>
            <c:manualLayout>
              <c:xMode val="edge"/>
              <c:yMode val="edge"/>
              <c:x val="0.2223588591557886"/>
              <c:y val="0.92206113511577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0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611292746080474E-2"/>
          <c:y val="4.0854224698235839E-2"/>
          <c:w val="0.67937782886967191"/>
          <c:h val="0.7790839237017378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'Welfare Change Outputs'!$B$41:$B$46</c:f>
              <c:strCache>
                <c:ptCount val="6"/>
                <c:pt idx="0">
                  <c:v>Demersals</c:v>
                </c:pt>
                <c:pt idx="1">
                  <c:v>Tuna &amp; billfishes</c:v>
                </c:pt>
                <c:pt idx="2">
                  <c:v>Other palegic</c:v>
                </c:pt>
                <c:pt idx="3">
                  <c:v>Other marine</c:v>
                </c:pt>
                <c:pt idx="4">
                  <c:v>Crustaceans</c:v>
                </c:pt>
                <c:pt idx="5">
                  <c:v>All species</c:v>
                </c:pt>
              </c:strCache>
            </c:strRef>
          </c:cat>
          <c:val>
            <c:numRef>
              <c:f>'Welfare Change Outputs'!$J$41:$J$46</c:f>
              <c:numCache>
                <c:formatCode>#,##0</c:formatCode>
                <c:ptCount val="6"/>
                <c:pt idx="0">
                  <c:v>-180</c:v>
                </c:pt>
                <c:pt idx="1">
                  <c:v>-20</c:v>
                </c:pt>
                <c:pt idx="2">
                  <c:v>-350</c:v>
                </c:pt>
                <c:pt idx="3">
                  <c:v>-30</c:v>
                </c:pt>
                <c:pt idx="4">
                  <c:v>0</c:v>
                </c:pt>
                <c:pt idx="5">
                  <c:v>-580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C-4994-B490-EC5FD33D17C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'Welfare Change Outputs'!$B$41:$B$46</c:f>
              <c:strCache>
                <c:ptCount val="6"/>
                <c:pt idx="0">
                  <c:v>Demersals</c:v>
                </c:pt>
                <c:pt idx="1">
                  <c:v>Tuna &amp; billfishes</c:v>
                </c:pt>
                <c:pt idx="2">
                  <c:v>Other palegic</c:v>
                </c:pt>
                <c:pt idx="3">
                  <c:v>Other marine</c:v>
                </c:pt>
                <c:pt idx="4">
                  <c:v>Crustaceans</c:v>
                </c:pt>
                <c:pt idx="5">
                  <c:v>All species</c:v>
                </c:pt>
              </c:strCache>
            </c:strRef>
          </c:cat>
          <c:val>
            <c:numRef>
              <c:f>'Welfare Change Outputs'!$T$41:$T$46</c:f>
              <c:numCache>
                <c:formatCode>#,##0</c:formatCode>
                <c:ptCount val="6"/>
                <c:pt idx="0">
                  <c:v>-30</c:v>
                </c:pt>
                <c:pt idx="1">
                  <c:v>-10</c:v>
                </c:pt>
                <c:pt idx="2">
                  <c:v>-30</c:v>
                </c:pt>
                <c:pt idx="3">
                  <c:v>0</c:v>
                </c:pt>
                <c:pt idx="4">
                  <c:v>0</c:v>
                </c:pt>
                <c:pt idx="5">
                  <c:v>-70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1C-4994-B490-EC5FD33D1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70102160"/>
        <c:axId val="470600392"/>
      </c:barChart>
      <c:catAx>
        <c:axId val="570102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600392"/>
        <c:crosses val="autoZero"/>
        <c:auto val="1"/>
        <c:lblAlgn val="ctr"/>
        <c:lblOffset val="100"/>
        <c:noMultiLvlLbl val="0"/>
      </c:catAx>
      <c:valAx>
        <c:axId val="470600392"/>
        <c:scaling>
          <c:orientation val="minMax"/>
          <c:max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Net Welfare Change ( 000 US $ 2010 )</a:t>
                </a:r>
              </a:p>
            </c:rich>
          </c:tx>
          <c:layout>
            <c:manualLayout>
              <c:xMode val="edge"/>
              <c:yMode val="edge"/>
              <c:x val="0.2223588591557886"/>
              <c:y val="0.92206113511577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0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27173838916722"/>
          <c:y val="7.0568297053634682E-2"/>
          <c:w val="0.78611567151054074"/>
          <c:h val="0.79322591365321293"/>
        </c:manualLayout>
      </c:layout>
      <c:scatterChart>
        <c:scatterStyle val="smoothMarker"/>
        <c:varyColors val="0"/>
        <c:ser>
          <c:idx val="0"/>
          <c:order val="0"/>
          <c:tx>
            <c:v>D0</c:v>
          </c:tx>
          <c:spPr>
            <a:ln w="19050" cap="flat" cmpd="sng" algn="ctr">
              <a:solidFill>
                <a:srgbClr val="C0000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Curves'!$H$12:$H$14</c:f>
              <c:numCache>
                <c:formatCode>#,##0</c:formatCode>
                <c:ptCount val="3"/>
                <c:pt idx="0">
                  <c:v>418.14550056834003</c:v>
                </c:pt>
                <c:pt idx="1">
                  <c:v>0</c:v>
                </c:pt>
                <c:pt idx="2">
                  <c:v>664.4332004030922</c:v>
                </c:pt>
              </c:numCache>
            </c:numRef>
          </c:xVal>
          <c:yVal>
            <c:numRef>
              <c:f>'Supply &amp; Demand Curves'!$G$12:$G$14</c:f>
              <c:numCache>
                <c:formatCode>#,##0</c:formatCode>
                <c:ptCount val="3"/>
                <c:pt idx="0">
                  <c:v>5340.8921131297102</c:v>
                </c:pt>
                <c:pt idx="1">
                  <c:v>14408.620658341442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84-4B90-9613-F97A79887B75}"/>
            </c:ext>
          </c:extLst>
        </c:ser>
        <c:ser>
          <c:idx val="1"/>
          <c:order val="1"/>
          <c:tx>
            <c:v>S0</c:v>
          </c:tx>
          <c:spPr>
            <a:ln w="19050" cap="flat" cmpd="sng" algn="ctr">
              <a:solidFill>
                <a:srgbClr val="0070C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Curves'!$P$16:$P$18</c:f>
              <c:numCache>
                <c:formatCode>#,##0</c:formatCode>
                <c:ptCount val="3"/>
                <c:pt idx="0">
                  <c:v>735.49859652256089</c:v>
                </c:pt>
                <c:pt idx="1">
                  <c:v>446.10325681719377</c:v>
                </c:pt>
                <c:pt idx="2">
                  <c:v>258.41391935123409</c:v>
                </c:pt>
              </c:numCache>
            </c:numRef>
          </c:xVal>
          <c:yVal>
            <c:numRef>
              <c:f>'Supply &amp; Demand Curves'!$O$16:$O$18</c:f>
              <c:numCache>
                <c:formatCode>#,##0</c:formatCode>
                <c:ptCount val="3"/>
                <c:pt idx="0">
                  <c:v>15952.122743567368</c:v>
                </c:pt>
                <c:pt idx="1">
                  <c:v>6275.7063728555459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84-4B90-9613-F97A79887B75}"/>
            </c:ext>
          </c:extLst>
        </c:ser>
        <c:ser>
          <c:idx val="2"/>
          <c:order val="2"/>
          <c:tx>
            <c:v>P0</c:v>
          </c:tx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Curves'!$H$21:$H$22</c:f>
              <c:numCache>
                <c:formatCode>#,##0</c:formatCode>
                <c:ptCount val="2"/>
                <c:pt idx="0">
                  <c:v>0</c:v>
                </c:pt>
                <c:pt idx="1">
                  <c:v>418.14550056834003</c:v>
                </c:pt>
              </c:numCache>
            </c:numRef>
          </c:xVal>
          <c:yVal>
            <c:numRef>
              <c:f>'Supply &amp; Demand Curves'!$G$21:$G$22</c:f>
              <c:numCache>
                <c:formatCode>#,##0</c:formatCode>
                <c:ptCount val="2"/>
                <c:pt idx="0">
                  <c:v>5340.8921131297102</c:v>
                </c:pt>
                <c:pt idx="1">
                  <c:v>5340.8921131297102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C84-4B90-9613-F97A79887B75}"/>
            </c:ext>
          </c:extLst>
        </c:ser>
        <c:ser>
          <c:idx val="3"/>
          <c:order val="3"/>
          <c:tx>
            <c:v>Q0</c:v>
          </c:tx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Curves'!$H$24:$H$25</c:f>
              <c:numCache>
                <c:formatCode>#,##0</c:formatCode>
                <c:ptCount val="2"/>
                <c:pt idx="0">
                  <c:v>418.14550056834003</c:v>
                </c:pt>
                <c:pt idx="1">
                  <c:v>418.14550056834003</c:v>
                </c:pt>
              </c:numCache>
            </c:numRef>
          </c:xVal>
          <c:yVal>
            <c:numRef>
              <c:f>'Supply &amp; Demand Curves'!$G$24:$G$25</c:f>
              <c:numCache>
                <c:formatCode>#,##0</c:formatCode>
                <c:ptCount val="2"/>
                <c:pt idx="0">
                  <c:v>5340.8921131297102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C84-4B90-9613-F97A79887B75}"/>
            </c:ext>
          </c:extLst>
        </c:ser>
        <c:ser>
          <c:idx val="4"/>
          <c:order val="4"/>
          <c:tx>
            <c:v>D1</c:v>
          </c:tx>
          <c:spPr>
            <a:ln w="19050" cap="flat" cmpd="sng" algn="ctr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Curves'!$P$12:$P$14</c:f>
              <c:numCache>
                <c:formatCode>#,##0</c:formatCode>
                <c:ptCount val="3"/>
                <c:pt idx="0">
                  <c:v>446.10325681719377</c:v>
                </c:pt>
                <c:pt idx="1">
                  <c:v>0</c:v>
                </c:pt>
                <c:pt idx="2">
                  <c:v>735.49859652256089</c:v>
                </c:pt>
              </c:numCache>
            </c:numRef>
          </c:xVal>
          <c:yVal>
            <c:numRef>
              <c:f>'Supply &amp; Demand Curves'!$O$12:$O$14</c:f>
              <c:numCache>
                <c:formatCode>#,##0</c:formatCode>
                <c:ptCount val="3"/>
                <c:pt idx="0">
                  <c:v>6275.7063728555459</c:v>
                </c:pt>
                <c:pt idx="1">
                  <c:v>15949.715134052454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C84-4B90-9613-F97A79887B75}"/>
            </c:ext>
          </c:extLst>
        </c:ser>
        <c:ser>
          <c:idx val="5"/>
          <c:order val="5"/>
          <c:tx>
            <c:v>Q1</c:v>
          </c:tx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Curves'!$P$24:$P$25</c:f>
              <c:numCache>
                <c:formatCode>#,##0</c:formatCode>
                <c:ptCount val="2"/>
                <c:pt idx="0">
                  <c:v>446.10325681719377</c:v>
                </c:pt>
                <c:pt idx="1">
                  <c:v>446.10325681719377</c:v>
                </c:pt>
              </c:numCache>
            </c:numRef>
          </c:xVal>
          <c:yVal>
            <c:numRef>
              <c:f>'Supply &amp; Demand Curves'!$O$24:$O$25</c:f>
              <c:numCache>
                <c:formatCode>#,##0</c:formatCode>
                <c:ptCount val="2"/>
                <c:pt idx="0">
                  <c:v>6275.7063728555459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C84-4B90-9613-F97A79887B75}"/>
            </c:ext>
          </c:extLst>
        </c:ser>
        <c:ser>
          <c:idx val="6"/>
          <c:order val="6"/>
          <c:tx>
            <c:v>P1</c:v>
          </c:tx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Curves'!$P$21:$P$22</c:f>
              <c:numCache>
                <c:formatCode>#,##0</c:formatCode>
                <c:ptCount val="2"/>
                <c:pt idx="0">
                  <c:v>0</c:v>
                </c:pt>
                <c:pt idx="1">
                  <c:v>446.10325681719377</c:v>
                </c:pt>
              </c:numCache>
            </c:numRef>
          </c:xVal>
          <c:yVal>
            <c:numRef>
              <c:f>'Supply &amp; Demand Curves'!$O$21:$O$22</c:f>
              <c:numCache>
                <c:formatCode>#,##0</c:formatCode>
                <c:ptCount val="2"/>
                <c:pt idx="0">
                  <c:v>6275.7063728555459</c:v>
                </c:pt>
                <c:pt idx="1">
                  <c:v>6275.7063728555459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C84-4B90-9613-F97A79887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5873720"/>
        <c:axId val="1255872736"/>
      </c:scatterChart>
      <c:valAx>
        <c:axId val="1255873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Quantity (tonnes)</a:t>
                </a:r>
              </a:p>
            </c:rich>
          </c:tx>
          <c:layout>
            <c:manualLayout>
              <c:xMode val="edge"/>
              <c:yMode val="edge"/>
              <c:x val="0.41841782415466705"/>
              <c:y val="0.932186473839827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872736"/>
        <c:crosses val="autoZero"/>
        <c:crossBetween val="midCat"/>
      </c:valAx>
      <c:valAx>
        <c:axId val="125587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Price (US$ 2010 per tonne)</a:t>
                </a:r>
              </a:p>
            </c:rich>
          </c:tx>
          <c:layout>
            <c:manualLayout>
              <c:xMode val="edge"/>
              <c:yMode val="edge"/>
              <c:x val="7.6012306976657364E-3"/>
              <c:y val="0.243011398425570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873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6733870244093632"/>
          <c:y val="1.6284991627761852E-2"/>
          <c:w val="0.83266136445385874"/>
          <c:h val="5.538763433289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27173838916722"/>
          <c:y val="7.0568297053634682E-2"/>
          <c:w val="0.78611567151054074"/>
          <c:h val="0.79322591365321293"/>
        </c:manualLayout>
      </c:layout>
      <c:scatterChart>
        <c:scatterStyle val="smoothMarker"/>
        <c:varyColors val="0"/>
        <c:ser>
          <c:idx val="0"/>
          <c:order val="0"/>
          <c:tx>
            <c:v>D0</c:v>
          </c:tx>
          <c:spPr>
            <a:ln w="19050" cap="flat" cmpd="sng" algn="ctr">
              <a:solidFill>
                <a:srgbClr val="C0000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Curves'!$H$12:$H$14</c:f>
              <c:numCache>
                <c:formatCode>#,##0</c:formatCode>
                <c:ptCount val="3"/>
                <c:pt idx="0">
                  <c:v>418.14550056834003</c:v>
                </c:pt>
                <c:pt idx="1">
                  <c:v>0</c:v>
                </c:pt>
                <c:pt idx="2">
                  <c:v>664.4332004030922</c:v>
                </c:pt>
              </c:numCache>
            </c:numRef>
          </c:xVal>
          <c:yVal>
            <c:numRef>
              <c:f>'Supply &amp; Demand Curves'!$G$12:$G$14</c:f>
              <c:numCache>
                <c:formatCode>#,##0</c:formatCode>
                <c:ptCount val="3"/>
                <c:pt idx="0">
                  <c:v>5340.8921131297102</c:v>
                </c:pt>
                <c:pt idx="1">
                  <c:v>14408.620658341442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78-4933-A874-1D655C9C04DA}"/>
            </c:ext>
          </c:extLst>
        </c:ser>
        <c:ser>
          <c:idx val="1"/>
          <c:order val="1"/>
          <c:tx>
            <c:v>S0</c:v>
          </c:tx>
          <c:spPr>
            <a:ln w="19050" cap="flat" cmpd="sng" algn="ctr">
              <a:solidFill>
                <a:srgbClr val="0070C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Curves'!$P$16:$P$18</c:f>
              <c:numCache>
                <c:formatCode>#,##0</c:formatCode>
                <c:ptCount val="3"/>
                <c:pt idx="0">
                  <c:v>735.49859652256089</c:v>
                </c:pt>
                <c:pt idx="1">
                  <c:v>446.10325681719377</c:v>
                </c:pt>
                <c:pt idx="2">
                  <c:v>258.41391935123409</c:v>
                </c:pt>
              </c:numCache>
            </c:numRef>
          </c:xVal>
          <c:yVal>
            <c:numRef>
              <c:f>'Supply &amp; Demand Curves'!$O$16:$O$18</c:f>
              <c:numCache>
                <c:formatCode>#,##0</c:formatCode>
                <c:ptCount val="3"/>
                <c:pt idx="0">
                  <c:v>15952.122743567368</c:v>
                </c:pt>
                <c:pt idx="1">
                  <c:v>6275.7063728555459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078-4933-A874-1D655C9C04DA}"/>
            </c:ext>
          </c:extLst>
        </c:ser>
        <c:ser>
          <c:idx val="2"/>
          <c:order val="2"/>
          <c:tx>
            <c:v>P0</c:v>
          </c:tx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Curves'!$H$21:$H$22</c:f>
              <c:numCache>
                <c:formatCode>#,##0</c:formatCode>
                <c:ptCount val="2"/>
                <c:pt idx="0">
                  <c:v>0</c:v>
                </c:pt>
                <c:pt idx="1">
                  <c:v>418.14550056834003</c:v>
                </c:pt>
              </c:numCache>
            </c:numRef>
          </c:xVal>
          <c:yVal>
            <c:numRef>
              <c:f>'Supply &amp; Demand Curves'!$G$21:$G$22</c:f>
              <c:numCache>
                <c:formatCode>#,##0</c:formatCode>
                <c:ptCount val="2"/>
                <c:pt idx="0">
                  <c:v>5340.8921131297102</c:v>
                </c:pt>
                <c:pt idx="1">
                  <c:v>5340.8921131297102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078-4933-A874-1D655C9C04DA}"/>
            </c:ext>
          </c:extLst>
        </c:ser>
        <c:ser>
          <c:idx val="3"/>
          <c:order val="3"/>
          <c:tx>
            <c:v>Q0</c:v>
          </c:tx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Curves'!$H$24:$H$25</c:f>
              <c:numCache>
                <c:formatCode>#,##0</c:formatCode>
                <c:ptCount val="2"/>
                <c:pt idx="0">
                  <c:v>418.14550056834003</c:v>
                </c:pt>
                <c:pt idx="1">
                  <c:v>418.14550056834003</c:v>
                </c:pt>
              </c:numCache>
            </c:numRef>
          </c:xVal>
          <c:yVal>
            <c:numRef>
              <c:f>'Supply &amp; Demand Curves'!$G$24:$G$25</c:f>
              <c:numCache>
                <c:formatCode>#,##0</c:formatCode>
                <c:ptCount val="2"/>
                <c:pt idx="0">
                  <c:v>5340.8921131297102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078-4933-A874-1D655C9C04DA}"/>
            </c:ext>
          </c:extLst>
        </c:ser>
        <c:ser>
          <c:idx val="4"/>
          <c:order val="4"/>
          <c:tx>
            <c:v>D1</c:v>
          </c:tx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Curves'!$X$12:$X$14</c:f>
              <c:numCache>
                <c:formatCode>#,##0</c:formatCode>
                <c:ptCount val="3"/>
                <c:pt idx="0">
                  <c:v>452.02325869881582</c:v>
                </c:pt>
                <c:pt idx="1">
                  <c:v>0</c:v>
                </c:pt>
                <c:pt idx="2">
                  <c:v>750.54655942061061</c:v>
                </c:pt>
              </c:numCache>
            </c:numRef>
          </c:xVal>
          <c:yVal>
            <c:numRef>
              <c:f>'Supply &amp; Demand Curves'!$W$12:$W$14</c:f>
              <c:numCache>
                <c:formatCode>#,##0</c:formatCode>
                <c:ptCount val="3"/>
                <c:pt idx="0">
                  <c:v>6473.6515200728209</c:v>
                </c:pt>
                <c:pt idx="1">
                  <c:v>16276.038967580425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078-4933-A874-1D655C9C04DA}"/>
            </c:ext>
          </c:extLst>
        </c:ser>
        <c:ser>
          <c:idx val="5"/>
          <c:order val="5"/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Curves'!$X$24:$X$25</c:f>
              <c:numCache>
                <c:formatCode>#,##0</c:formatCode>
                <c:ptCount val="2"/>
                <c:pt idx="0">
                  <c:v>452.02325869881582</c:v>
                </c:pt>
                <c:pt idx="1">
                  <c:v>452.02325869881582</c:v>
                </c:pt>
              </c:numCache>
            </c:numRef>
          </c:xVal>
          <c:yVal>
            <c:numRef>
              <c:f>'Supply &amp; Demand Curves'!$W$24:$W$25</c:f>
              <c:numCache>
                <c:formatCode>#,##0</c:formatCode>
                <c:ptCount val="2"/>
                <c:pt idx="0">
                  <c:v>6473.6515200728209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078-4933-A874-1D655C9C04DA}"/>
            </c:ext>
          </c:extLst>
        </c:ser>
        <c:ser>
          <c:idx val="6"/>
          <c:order val="6"/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Curves'!$X$21:$X$22</c:f>
              <c:numCache>
                <c:formatCode>#,##0</c:formatCode>
                <c:ptCount val="2"/>
                <c:pt idx="0">
                  <c:v>0</c:v>
                </c:pt>
                <c:pt idx="1">
                  <c:v>452.02325869881582</c:v>
                </c:pt>
              </c:numCache>
            </c:numRef>
          </c:xVal>
          <c:yVal>
            <c:numRef>
              <c:f>'Supply &amp; Demand Curves'!$W$21:$W$22</c:f>
              <c:numCache>
                <c:formatCode>#,##0</c:formatCode>
                <c:ptCount val="2"/>
                <c:pt idx="0">
                  <c:v>6473.6515200728209</c:v>
                </c:pt>
                <c:pt idx="1">
                  <c:v>6473.6515200728209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078-4933-A874-1D655C9C0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5873720"/>
        <c:axId val="1255872736"/>
      </c:scatterChart>
      <c:valAx>
        <c:axId val="1255873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Quantity (tonnes)</a:t>
                </a:r>
              </a:p>
            </c:rich>
          </c:tx>
          <c:layout>
            <c:manualLayout>
              <c:xMode val="edge"/>
              <c:yMode val="edge"/>
              <c:x val="0.41841782415466705"/>
              <c:y val="0.932186473839827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872736"/>
        <c:crosses val="autoZero"/>
        <c:crossBetween val="midCat"/>
      </c:valAx>
      <c:valAx>
        <c:axId val="125587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Price (US$ 2010 per tonne)</a:t>
                </a:r>
              </a:p>
            </c:rich>
          </c:tx>
          <c:layout>
            <c:manualLayout>
              <c:xMode val="edge"/>
              <c:yMode val="edge"/>
              <c:x val="7.6012306976657364E-3"/>
              <c:y val="0.243011398425570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873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6733870244093632"/>
          <c:y val="1.6284991627761852E-2"/>
          <c:w val="0.83266136445385874"/>
          <c:h val="5.538763433289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27173838916722"/>
          <c:y val="7.0568297053634682E-2"/>
          <c:w val="0.78611567151054074"/>
          <c:h val="0.79322591365321293"/>
        </c:manualLayout>
      </c:layout>
      <c:scatterChart>
        <c:scatterStyle val="smoothMarker"/>
        <c:varyColors val="0"/>
        <c:ser>
          <c:idx val="0"/>
          <c:order val="0"/>
          <c:tx>
            <c:v>D0</c:v>
          </c:tx>
          <c:spPr>
            <a:ln w="19050" cap="flat" cmpd="sng" algn="ctr">
              <a:solidFill>
                <a:srgbClr val="C0000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Curves'!$H$12:$H$14</c:f>
              <c:numCache>
                <c:formatCode>#,##0</c:formatCode>
                <c:ptCount val="3"/>
                <c:pt idx="0">
                  <c:v>418.14550056834003</c:v>
                </c:pt>
                <c:pt idx="1">
                  <c:v>0</c:v>
                </c:pt>
                <c:pt idx="2">
                  <c:v>664.4332004030922</c:v>
                </c:pt>
              </c:numCache>
            </c:numRef>
          </c:xVal>
          <c:yVal>
            <c:numRef>
              <c:f>'Supply &amp; Demand Curves'!$G$12:$G$14</c:f>
              <c:numCache>
                <c:formatCode>#,##0</c:formatCode>
                <c:ptCount val="3"/>
                <c:pt idx="0">
                  <c:v>5340.8921131297102</c:v>
                </c:pt>
                <c:pt idx="1">
                  <c:v>14408.620658341442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C4-462A-9FA9-8E38C9E62822}"/>
            </c:ext>
          </c:extLst>
        </c:ser>
        <c:ser>
          <c:idx val="1"/>
          <c:order val="1"/>
          <c:tx>
            <c:v>S0</c:v>
          </c:tx>
          <c:spPr>
            <a:ln w="19050" cap="flat" cmpd="sng" algn="ctr">
              <a:solidFill>
                <a:srgbClr val="0070C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Curves'!$P$16:$P$18</c:f>
              <c:numCache>
                <c:formatCode>#,##0</c:formatCode>
                <c:ptCount val="3"/>
                <c:pt idx="0">
                  <c:v>735.49859652256089</c:v>
                </c:pt>
                <c:pt idx="1">
                  <c:v>446.10325681719377</c:v>
                </c:pt>
                <c:pt idx="2">
                  <c:v>258.41391935123409</c:v>
                </c:pt>
              </c:numCache>
            </c:numRef>
          </c:xVal>
          <c:yVal>
            <c:numRef>
              <c:f>'Supply &amp; Demand Curves'!$O$16:$O$18</c:f>
              <c:numCache>
                <c:formatCode>#,##0</c:formatCode>
                <c:ptCount val="3"/>
                <c:pt idx="0">
                  <c:v>15952.122743567368</c:v>
                </c:pt>
                <c:pt idx="1">
                  <c:v>6275.7063728555459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C4-462A-9FA9-8E38C9E62822}"/>
            </c:ext>
          </c:extLst>
        </c:ser>
        <c:ser>
          <c:idx val="2"/>
          <c:order val="2"/>
          <c:tx>
            <c:v>P0</c:v>
          </c:tx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Curves'!$H$21:$H$22</c:f>
              <c:numCache>
                <c:formatCode>#,##0</c:formatCode>
                <c:ptCount val="2"/>
                <c:pt idx="0">
                  <c:v>0</c:v>
                </c:pt>
                <c:pt idx="1">
                  <c:v>418.14550056834003</c:v>
                </c:pt>
              </c:numCache>
            </c:numRef>
          </c:xVal>
          <c:yVal>
            <c:numRef>
              <c:f>'Supply &amp; Demand Curves'!$G$21:$G$22</c:f>
              <c:numCache>
                <c:formatCode>#,##0</c:formatCode>
                <c:ptCount val="2"/>
                <c:pt idx="0">
                  <c:v>5340.8921131297102</c:v>
                </c:pt>
                <c:pt idx="1">
                  <c:v>5340.8921131297102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C4-462A-9FA9-8E38C9E62822}"/>
            </c:ext>
          </c:extLst>
        </c:ser>
        <c:ser>
          <c:idx val="3"/>
          <c:order val="3"/>
          <c:tx>
            <c:v>Q0</c:v>
          </c:tx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Curves'!$H$24:$H$25</c:f>
              <c:numCache>
                <c:formatCode>#,##0</c:formatCode>
                <c:ptCount val="2"/>
                <c:pt idx="0">
                  <c:v>418.14550056834003</c:v>
                </c:pt>
                <c:pt idx="1">
                  <c:v>418.14550056834003</c:v>
                </c:pt>
              </c:numCache>
            </c:numRef>
          </c:xVal>
          <c:yVal>
            <c:numRef>
              <c:f>'Supply &amp; Demand Curves'!$G$24:$G$25</c:f>
              <c:numCache>
                <c:formatCode>#,##0</c:formatCode>
                <c:ptCount val="2"/>
                <c:pt idx="0">
                  <c:v>5340.8921131297102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4C4-462A-9FA9-8E38C9E62822}"/>
            </c:ext>
          </c:extLst>
        </c:ser>
        <c:ser>
          <c:idx val="4"/>
          <c:order val="4"/>
          <c:tx>
            <c:v>D1</c:v>
          </c:tx>
          <c:spPr>
            <a:ln w="19050" cap="flat" cmpd="sng" algn="ctr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Curves'!$P$12:$P$14</c:f>
              <c:numCache>
                <c:formatCode>#,##0</c:formatCode>
                <c:ptCount val="3"/>
                <c:pt idx="0">
                  <c:v>446.10325681719377</c:v>
                </c:pt>
                <c:pt idx="1">
                  <c:v>0</c:v>
                </c:pt>
                <c:pt idx="2">
                  <c:v>735.49859652256089</c:v>
                </c:pt>
              </c:numCache>
            </c:numRef>
          </c:xVal>
          <c:yVal>
            <c:numRef>
              <c:f>'Supply &amp; Demand Curves'!$O$12:$O$14</c:f>
              <c:numCache>
                <c:formatCode>#,##0</c:formatCode>
                <c:ptCount val="3"/>
                <c:pt idx="0">
                  <c:v>6275.7063728555459</c:v>
                </c:pt>
                <c:pt idx="1">
                  <c:v>15949.715134052454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4C4-462A-9FA9-8E38C9E62822}"/>
            </c:ext>
          </c:extLst>
        </c:ser>
        <c:ser>
          <c:idx val="5"/>
          <c:order val="5"/>
          <c:tx>
            <c:v>Q1</c:v>
          </c:tx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Curves'!$P$24:$P$25</c:f>
              <c:numCache>
                <c:formatCode>#,##0</c:formatCode>
                <c:ptCount val="2"/>
                <c:pt idx="0">
                  <c:v>446.10325681719377</c:v>
                </c:pt>
                <c:pt idx="1">
                  <c:v>446.10325681719377</c:v>
                </c:pt>
              </c:numCache>
            </c:numRef>
          </c:xVal>
          <c:yVal>
            <c:numRef>
              <c:f>'Supply &amp; Demand Curves'!$O$24:$O$25</c:f>
              <c:numCache>
                <c:formatCode>#,##0</c:formatCode>
                <c:ptCount val="2"/>
                <c:pt idx="0">
                  <c:v>6275.7063728555459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4C4-462A-9FA9-8E38C9E62822}"/>
            </c:ext>
          </c:extLst>
        </c:ser>
        <c:ser>
          <c:idx val="6"/>
          <c:order val="6"/>
          <c:tx>
            <c:v>P1</c:v>
          </c:tx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Curves'!$P$21:$P$22</c:f>
              <c:numCache>
                <c:formatCode>#,##0</c:formatCode>
                <c:ptCount val="2"/>
                <c:pt idx="0">
                  <c:v>0</c:v>
                </c:pt>
                <c:pt idx="1">
                  <c:v>446.10325681719377</c:v>
                </c:pt>
              </c:numCache>
            </c:numRef>
          </c:xVal>
          <c:yVal>
            <c:numRef>
              <c:f>'Supply &amp; Demand Curves'!$O$21:$O$22</c:f>
              <c:numCache>
                <c:formatCode>#,##0</c:formatCode>
                <c:ptCount val="2"/>
                <c:pt idx="0">
                  <c:v>6275.7063728555459</c:v>
                </c:pt>
                <c:pt idx="1">
                  <c:v>6275.7063728555459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4C4-462A-9FA9-8E38C9E62822}"/>
            </c:ext>
          </c:extLst>
        </c:ser>
        <c:ser>
          <c:idx val="7"/>
          <c:order val="7"/>
          <c:tx>
            <c:v>S1</c:v>
          </c:tx>
          <c:spPr>
            <a:ln w="19050" cap="flat" cmpd="dbl" algn="ctr">
              <a:solidFill>
                <a:srgbClr val="00B0F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Curves'!$H$45:$H$47</c:f>
              <c:numCache>
                <c:formatCode>#,##0</c:formatCode>
                <c:ptCount val="3"/>
                <c:pt idx="0">
                  <c:v>735.49859652256089</c:v>
                </c:pt>
                <c:pt idx="1">
                  <c:v>432.52856871223378</c:v>
                </c:pt>
                <c:pt idx="2">
                  <c:v>236.03527393541722</c:v>
                </c:pt>
              </c:numCache>
            </c:numRef>
          </c:xVal>
          <c:yVal>
            <c:numRef>
              <c:f>'Supply &amp; Demand Curves'!$G$45:$G$47</c:f>
              <c:numCache>
                <c:formatCode>#,##0</c:formatCode>
                <c:ptCount val="3"/>
                <c:pt idx="0">
                  <c:v>16700.390117452618</c:v>
                </c:pt>
                <c:pt idx="1">
                  <c:v>6570.0813850328523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4C4-462A-9FA9-8E38C9E62822}"/>
            </c:ext>
          </c:extLst>
        </c:ser>
        <c:ser>
          <c:idx val="8"/>
          <c:order val="8"/>
          <c:tx>
            <c:v>P2</c:v>
          </c:tx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Curves'!$H$50:$H$51</c:f>
              <c:numCache>
                <c:formatCode>#,##0</c:formatCode>
                <c:ptCount val="2"/>
                <c:pt idx="0">
                  <c:v>0</c:v>
                </c:pt>
                <c:pt idx="1">
                  <c:v>432.52856871223378</c:v>
                </c:pt>
              </c:numCache>
            </c:numRef>
          </c:xVal>
          <c:yVal>
            <c:numRef>
              <c:f>'Supply &amp; Demand Curves'!$G$50:$G$51</c:f>
              <c:numCache>
                <c:formatCode>#,##0</c:formatCode>
                <c:ptCount val="2"/>
                <c:pt idx="0">
                  <c:v>6570.0813850328523</c:v>
                </c:pt>
                <c:pt idx="1">
                  <c:v>6570.0813850328523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4C4-462A-9FA9-8E38C9E62822}"/>
            </c:ext>
          </c:extLst>
        </c:ser>
        <c:ser>
          <c:idx val="9"/>
          <c:order val="9"/>
          <c:tx>
            <c:v>Q2</c:v>
          </c:tx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Curves'!$H$53:$H$54</c:f>
              <c:numCache>
                <c:formatCode>#,##0</c:formatCode>
                <c:ptCount val="2"/>
                <c:pt idx="0">
                  <c:v>432.52856871223378</c:v>
                </c:pt>
                <c:pt idx="1">
                  <c:v>432.52856871223378</c:v>
                </c:pt>
              </c:numCache>
            </c:numRef>
          </c:xVal>
          <c:yVal>
            <c:numRef>
              <c:f>'Supply &amp; Demand Curves'!$G$53:$G$54</c:f>
              <c:numCache>
                <c:formatCode>#,##0</c:formatCode>
                <c:ptCount val="2"/>
                <c:pt idx="0">
                  <c:v>6570.0813850328523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4C4-462A-9FA9-8E38C9E62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5873720"/>
        <c:axId val="1255872736"/>
      </c:scatterChart>
      <c:valAx>
        <c:axId val="1255873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Quantity (tonnes)</a:t>
                </a:r>
              </a:p>
            </c:rich>
          </c:tx>
          <c:layout>
            <c:manualLayout>
              <c:xMode val="edge"/>
              <c:yMode val="edge"/>
              <c:x val="0.41841782415466705"/>
              <c:y val="0.932186473839827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872736"/>
        <c:crosses val="autoZero"/>
        <c:crossBetween val="midCat"/>
      </c:valAx>
      <c:valAx>
        <c:axId val="125587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Price (US$ 2010 per tonne)</a:t>
                </a:r>
              </a:p>
            </c:rich>
          </c:tx>
          <c:layout>
            <c:manualLayout>
              <c:xMode val="edge"/>
              <c:yMode val="edge"/>
              <c:x val="7.6012306976657364E-3"/>
              <c:y val="0.243011398425570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873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6733870244093632"/>
          <c:y val="1.6284991627761852E-2"/>
          <c:w val="0.76918866433474031"/>
          <c:h val="5.430208672645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27173838916722"/>
          <c:y val="7.0568297053634682E-2"/>
          <c:w val="0.78611567151054074"/>
          <c:h val="0.79322591365321293"/>
        </c:manualLayout>
      </c:layout>
      <c:scatterChart>
        <c:scatterStyle val="smoothMarker"/>
        <c:varyColors val="0"/>
        <c:ser>
          <c:idx val="0"/>
          <c:order val="0"/>
          <c:tx>
            <c:v>D0</c:v>
          </c:tx>
          <c:spPr>
            <a:ln w="19050" cap="flat" cmpd="sng" algn="ctr">
              <a:solidFill>
                <a:srgbClr val="C0000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Curves'!$H$12:$H$14</c:f>
              <c:numCache>
                <c:formatCode>#,##0</c:formatCode>
                <c:ptCount val="3"/>
                <c:pt idx="0">
                  <c:v>418.14550056834003</c:v>
                </c:pt>
                <c:pt idx="1">
                  <c:v>0</c:v>
                </c:pt>
                <c:pt idx="2">
                  <c:v>664.4332004030922</c:v>
                </c:pt>
              </c:numCache>
            </c:numRef>
          </c:xVal>
          <c:yVal>
            <c:numRef>
              <c:f>'Supply &amp; Demand Curves'!$G$12:$G$14</c:f>
              <c:numCache>
                <c:formatCode>#,##0</c:formatCode>
                <c:ptCount val="3"/>
                <c:pt idx="0">
                  <c:v>5340.8921131297102</c:v>
                </c:pt>
                <c:pt idx="1">
                  <c:v>14408.620658341442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D4-4A1B-A0B4-9637A69E2663}"/>
            </c:ext>
          </c:extLst>
        </c:ser>
        <c:ser>
          <c:idx val="1"/>
          <c:order val="1"/>
          <c:tx>
            <c:v>S0</c:v>
          </c:tx>
          <c:spPr>
            <a:ln w="19050" cap="flat" cmpd="sng" algn="ctr">
              <a:solidFill>
                <a:srgbClr val="0070C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Curves'!$P$16:$P$18</c:f>
              <c:numCache>
                <c:formatCode>#,##0</c:formatCode>
                <c:ptCount val="3"/>
                <c:pt idx="0">
                  <c:v>735.49859652256089</c:v>
                </c:pt>
                <c:pt idx="1">
                  <c:v>446.10325681719377</c:v>
                </c:pt>
                <c:pt idx="2">
                  <c:v>258.41391935123409</c:v>
                </c:pt>
              </c:numCache>
            </c:numRef>
          </c:xVal>
          <c:yVal>
            <c:numRef>
              <c:f>'Supply &amp; Demand Curves'!$O$16:$O$18</c:f>
              <c:numCache>
                <c:formatCode>#,##0</c:formatCode>
                <c:ptCount val="3"/>
                <c:pt idx="0">
                  <c:v>15952.122743567368</c:v>
                </c:pt>
                <c:pt idx="1">
                  <c:v>6275.7063728555459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D4-4A1B-A0B4-9637A69E2663}"/>
            </c:ext>
          </c:extLst>
        </c:ser>
        <c:ser>
          <c:idx val="2"/>
          <c:order val="2"/>
          <c:tx>
            <c:v>P0</c:v>
          </c:tx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Curves'!$H$21:$H$22</c:f>
              <c:numCache>
                <c:formatCode>#,##0</c:formatCode>
                <c:ptCount val="2"/>
                <c:pt idx="0">
                  <c:v>0</c:v>
                </c:pt>
                <c:pt idx="1">
                  <c:v>418.14550056834003</c:v>
                </c:pt>
              </c:numCache>
            </c:numRef>
          </c:xVal>
          <c:yVal>
            <c:numRef>
              <c:f>'Supply &amp; Demand Curves'!$G$21:$G$22</c:f>
              <c:numCache>
                <c:formatCode>#,##0</c:formatCode>
                <c:ptCount val="2"/>
                <c:pt idx="0">
                  <c:v>5340.8921131297102</c:v>
                </c:pt>
                <c:pt idx="1">
                  <c:v>5340.8921131297102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4D4-4A1B-A0B4-9637A69E2663}"/>
            </c:ext>
          </c:extLst>
        </c:ser>
        <c:ser>
          <c:idx val="3"/>
          <c:order val="3"/>
          <c:tx>
            <c:v>Q0</c:v>
          </c:tx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Curves'!$H$24:$H$25</c:f>
              <c:numCache>
                <c:formatCode>#,##0</c:formatCode>
                <c:ptCount val="2"/>
                <c:pt idx="0">
                  <c:v>418.14550056834003</c:v>
                </c:pt>
                <c:pt idx="1">
                  <c:v>418.14550056834003</c:v>
                </c:pt>
              </c:numCache>
            </c:numRef>
          </c:xVal>
          <c:yVal>
            <c:numRef>
              <c:f>'Supply &amp; Demand Curves'!$G$24:$G$25</c:f>
              <c:numCache>
                <c:formatCode>#,##0</c:formatCode>
                <c:ptCount val="2"/>
                <c:pt idx="0">
                  <c:v>5340.8921131297102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4D4-4A1B-A0B4-9637A69E2663}"/>
            </c:ext>
          </c:extLst>
        </c:ser>
        <c:ser>
          <c:idx val="4"/>
          <c:order val="4"/>
          <c:tx>
            <c:v>D1</c:v>
          </c:tx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Curves'!$X$12:$X$14</c:f>
              <c:numCache>
                <c:formatCode>#,##0</c:formatCode>
                <c:ptCount val="3"/>
                <c:pt idx="0">
                  <c:v>452.02325869881582</c:v>
                </c:pt>
                <c:pt idx="1">
                  <c:v>0</c:v>
                </c:pt>
                <c:pt idx="2">
                  <c:v>750.54655942061061</c:v>
                </c:pt>
              </c:numCache>
            </c:numRef>
          </c:xVal>
          <c:yVal>
            <c:numRef>
              <c:f>'Supply &amp; Demand Curves'!$W$12:$W$14</c:f>
              <c:numCache>
                <c:formatCode>#,##0</c:formatCode>
                <c:ptCount val="3"/>
                <c:pt idx="0">
                  <c:v>6473.6515200728209</c:v>
                </c:pt>
                <c:pt idx="1">
                  <c:v>16276.038967580425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4D4-4A1B-A0B4-9637A69E2663}"/>
            </c:ext>
          </c:extLst>
        </c:ser>
        <c:ser>
          <c:idx val="5"/>
          <c:order val="5"/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Curves'!$X$24:$X$25</c:f>
              <c:numCache>
                <c:formatCode>#,##0</c:formatCode>
                <c:ptCount val="2"/>
                <c:pt idx="0">
                  <c:v>452.02325869881582</c:v>
                </c:pt>
                <c:pt idx="1">
                  <c:v>452.02325869881582</c:v>
                </c:pt>
              </c:numCache>
            </c:numRef>
          </c:xVal>
          <c:yVal>
            <c:numRef>
              <c:f>'Supply &amp; Demand Curves'!$W$24:$W$25</c:f>
              <c:numCache>
                <c:formatCode>#,##0</c:formatCode>
                <c:ptCount val="2"/>
                <c:pt idx="0">
                  <c:v>6473.6515200728209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4D4-4A1B-A0B4-9637A69E2663}"/>
            </c:ext>
          </c:extLst>
        </c:ser>
        <c:ser>
          <c:idx val="6"/>
          <c:order val="6"/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Curves'!$X$21:$X$22</c:f>
              <c:numCache>
                <c:formatCode>#,##0</c:formatCode>
                <c:ptCount val="2"/>
                <c:pt idx="0">
                  <c:v>0</c:v>
                </c:pt>
                <c:pt idx="1">
                  <c:v>452.02325869881582</c:v>
                </c:pt>
              </c:numCache>
            </c:numRef>
          </c:xVal>
          <c:yVal>
            <c:numRef>
              <c:f>'Supply &amp; Demand Curves'!$W$21:$W$22</c:f>
              <c:numCache>
                <c:formatCode>#,##0</c:formatCode>
                <c:ptCount val="2"/>
                <c:pt idx="0">
                  <c:v>6473.6515200728209</c:v>
                </c:pt>
                <c:pt idx="1">
                  <c:v>6473.6515200728209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4D4-4A1B-A0B4-9637A69E2663}"/>
            </c:ext>
          </c:extLst>
        </c:ser>
        <c:ser>
          <c:idx val="7"/>
          <c:order val="7"/>
          <c:tx>
            <c:v>S1</c:v>
          </c:tx>
          <c:spPr>
            <a:ln w="19050" cap="flat" cmpd="sng" algn="ctr">
              <a:solidFill>
                <a:srgbClr val="00B0F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Curves'!$P$45:$P$47</c:f>
              <c:numCache>
                <c:formatCode>#,##0</c:formatCode>
                <c:ptCount val="3"/>
                <c:pt idx="0">
                  <c:v>750.54655942061061</c:v>
                </c:pt>
                <c:pt idx="1">
                  <c:v>434.45140492784566</c:v>
                </c:pt>
                <c:pt idx="2">
                  <c:v>229.44571899196077</c:v>
                </c:pt>
              </c:numCache>
            </c:numRef>
          </c:xVal>
          <c:yVal>
            <c:numRef>
              <c:f>'Supply &amp; Demand Curves'!$O$45:$O$47</c:f>
              <c:numCache>
                <c:formatCode>#,##0</c:formatCode>
                <c:ptCount val="3"/>
                <c:pt idx="0">
                  <c:v>17423.876653470383</c:v>
                </c:pt>
                <c:pt idx="1">
                  <c:v>6854.7073961129609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4D4-4A1B-A0B4-9637A69E2663}"/>
            </c:ext>
          </c:extLst>
        </c:ser>
        <c:ser>
          <c:idx val="8"/>
          <c:order val="8"/>
          <c:tx>
            <c:v>Q2</c:v>
          </c:tx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Curves'!$P$53:$P$54</c:f>
              <c:numCache>
                <c:formatCode>#,##0</c:formatCode>
                <c:ptCount val="2"/>
                <c:pt idx="0">
                  <c:v>434.45140492784566</c:v>
                </c:pt>
                <c:pt idx="1">
                  <c:v>434.45140492784566</c:v>
                </c:pt>
              </c:numCache>
            </c:numRef>
          </c:xVal>
          <c:yVal>
            <c:numRef>
              <c:f>'Supply &amp; Demand Curves'!$O$53:$O$54</c:f>
              <c:numCache>
                <c:formatCode>#,##0</c:formatCode>
                <c:ptCount val="2"/>
                <c:pt idx="0">
                  <c:v>6854.7073961129609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4D4-4A1B-A0B4-9637A69E2663}"/>
            </c:ext>
          </c:extLst>
        </c:ser>
        <c:ser>
          <c:idx val="9"/>
          <c:order val="9"/>
          <c:tx>
            <c:v>P2</c:v>
          </c:tx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Curves'!$P$50:$P$51</c:f>
              <c:numCache>
                <c:formatCode>#,##0</c:formatCode>
                <c:ptCount val="2"/>
                <c:pt idx="0">
                  <c:v>0</c:v>
                </c:pt>
                <c:pt idx="1">
                  <c:v>434.45140492784566</c:v>
                </c:pt>
              </c:numCache>
            </c:numRef>
          </c:xVal>
          <c:yVal>
            <c:numRef>
              <c:f>'Supply &amp; Demand Curves'!$O$50:$O$51</c:f>
              <c:numCache>
                <c:formatCode>#,##0</c:formatCode>
                <c:ptCount val="2"/>
                <c:pt idx="0">
                  <c:v>6854.7073961129609</c:v>
                </c:pt>
                <c:pt idx="1">
                  <c:v>6854.7073961129609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4D4-4A1B-A0B4-9637A69E2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5873720"/>
        <c:axId val="1255872736"/>
      </c:scatterChart>
      <c:valAx>
        <c:axId val="1255873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Quantity (tonnes)</a:t>
                </a:r>
              </a:p>
            </c:rich>
          </c:tx>
          <c:layout>
            <c:manualLayout>
              <c:xMode val="edge"/>
              <c:yMode val="edge"/>
              <c:x val="0.41841782415466705"/>
              <c:y val="0.932186473839827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872736"/>
        <c:crosses val="autoZero"/>
        <c:crossBetween val="midCat"/>
      </c:valAx>
      <c:valAx>
        <c:axId val="125587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Price (US$ 2010 per tonne)</a:t>
                </a:r>
              </a:p>
            </c:rich>
          </c:tx>
          <c:layout>
            <c:manualLayout>
              <c:xMode val="edge"/>
              <c:yMode val="edge"/>
              <c:x val="7.6012306976657364E-3"/>
              <c:y val="0.243011398425570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873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6733870244093632"/>
          <c:y val="1.6284991627761852E-2"/>
          <c:w val="0.83266138987640737"/>
          <c:h val="5.430208672645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27173838916722"/>
          <c:y val="7.0568297053634682E-2"/>
          <c:w val="0.78611567151054074"/>
          <c:h val="0.79322591365321293"/>
        </c:manualLayout>
      </c:layout>
      <c:scatterChart>
        <c:scatterStyle val="smoothMarker"/>
        <c:varyColors val="0"/>
        <c:ser>
          <c:idx val="0"/>
          <c:order val="0"/>
          <c:tx>
            <c:v>D0</c:v>
          </c:tx>
          <c:spPr>
            <a:ln w="19050" cap="flat" cmpd="sng" algn="ctr">
              <a:solidFill>
                <a:srgbClr val="C0000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Curves'!$H$12:$H$14</c:f>
              <c:numCache>
                <c:formatCode>#,##0</c:formatCode>
                <c:ptCount val="3"/>
                <c:pt idx="0">
                  <c:v>418.14550056834003</c:v>
                </c:pt>
                <c:pt idx="1">
                  <c:v>0</c:v>
                </c:pt>
                <c:pt idx="2">
                  <c:v>664.4332004030922</c:v>
                </c:pt>
              </c:numCache>
            </c:numRef>
          </c:xVal>
          <c:yVal>
            <c:numRef>
              <c:f>'Supply &amp; Demand Curves'!$G$12:$G$14</c:f>
              <c:numCache>
                <c:formatCode>#,##0</c:formatCode>
                <c:ptCount val="3"/>
                <c:pt idx="0">
                  <c:v>5340.8921131297102</c:v>
                </c:pt>
                <c:pt idx="1">
                  <c:v>14408.620658341442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13-4821-8753-A0883F908DAA}"/>
            </c:ext>
          </c:extLst>
        </c:ser>
        <c:ser>
          <c:idx val="1"/>
          <c:order val="1"/>
          <c:tx>
            <c:v>S0</c:v>
          </c:tx>
          <c:spPr>
            <a:ln w="19050" cap="flat" cmpd="sng" algn="ctr">
              <a:solidFill>
                <a:srgbClr val="0070C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Curves'!$P$16:$P$18</c:f>
              <c:numCache>
                <c:formatCode>#,##0</c:formatCode>
                <c:ptCount val="3"/>
                <c:pt idx="0">
                  <c:v>735.49859652256089</c:v>
                </c:pt>
                <c:pt idx="1">
                  <c:v>446.10325681719377</c:v>
                </c:pt>
                <c:pt idx="2">
                  <c:v>258.41391935123409</c:v>
                </c:pt>
              </c:numCache>
            </c:numRef>
          </c:xVal>
          <c:yVal>
            <c:numRef>
              <c:f>'Supply &amp; Demand Curves'!$O$16:$O$18</c:f>
              <c:numCache>
                <c:formatCode>#,##0</c:formatCode>
                <c:ptCount val="3"/>
                <c:pt idx="0">
                  <c:v>15952.122743567368</c:v>
                </c:pt>
                <c:pt idx="1">
                  <c:v>6275.7063728555459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13-4821-8753-A0883F908DAA}"/>
            </c:ext>
          </c:extLst>
        </c:ser>
        <c:ser>
          <c:idx val="2"/>
          <c:order val="2"/>
          <c:tx>
            <c:v>P0</c:v>
          </c:tx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Curves'!$H$21:$H$22</c:f>
              <c:numCache>
                <c:formatCode>#,##0</c:formatCode>
                <c:ptCount val="2"/>
                <c:pt idx="0">
                  <c:v>0</c:v>
                </c:pt>
                <c:pt idx="1">
                  <c:v>418.14550056834003</c:v>
                </c:pt>
              </c:numCache>
            </c:numRef>
          </c:xVal>
          <c:yVal>
            <c:numRef>
              <c:f>'Supply &amp; Demand Curves'!$G$21:$G$22</c:f>
              <c:numCache>
                <c:formatCode>#,##0</c:formatCode>
                <c:ptCount val="2"/>
                <c:pt idx="0">
                  <c:v>5340.8921131297102</c:v>
                </c:pt>
                <c:pt idx="1">
                  <c:v>5340.8921131297102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F13-4821-8753-A0883F908DAA}"/>
            </c:ext>
          </c:extLst>
        </c:ser>
        <c:ser>
          <c:idx val="3"/>
          <c:order val="3"/>
          <c:tx>
            <c:v>Q0</c:v>
          </c:tx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Curves'!$H$24:$H$25</c:f>
              <c:numCache>
                <c:formatCode>#,##0</c:formatCode>
                <c:ptCount val="2"/>
                <c:pt idx="0">
                  <c:v>418.14550056834003</c:v>
                </c:pt>
                <c:pt idx="1">
                  <c:v>418.14550056834003</c:v>
                </c:pt>
              </c:numCache>
            </c:numRef>
          </c:xVal>
          <c:yVal>
            <c:numRef>
              <c:f>'Supply &amp; Demand Curves'!$G$24:$G$25</c:f>
              <c:numCache>
                <c:formatCode>#,##0</c:formatCode>
                <c:ptCount val="2"/>
                <c:pt idx="0">
                  <c:v>5340.8921131297102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F13-4821-8753-A0883F908DAA}"/>
            </c:ext>
          </c:extLst>
        </c:ser>
        <c:ser>
          <c:idx val="4"/>
          <c:order val="4"/>
          <c:tx>
            <c:v>D1</c:v>
          </c:tx>
          <c:spPr>
            <a:ln w="19050" cap="flat" cmpd="sng" algn="ctr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Curves'!$P$12:$P$14</c:f>
              <c:numCache>
                <c:formatCode>#,##0</c:formatCode>
                <c:ptCount val="3"/>
                <c:pt idx="0">
                  <c:v>446.10325681719377</c:v>
                </c:pt>
                <c:pt idx="1">
                  <c:v>0</c:v>
                </c:pt>
                <c:pt idx="2">
                  <c:v>735.49859652256089</c:v>
                </c:pt>
              </c:numCache>
            </c:numRef>
          </c:xVal>
          <c:yVal>
            <c:numRef>
              <c:f>'Supply &amp; Demand Curves'!$O$12:$O$14</c:f>
              <c:numCache>
                <c:formatCode>#,##0</c:formatCode>
                <c:ptCount val="3"/>
                <c:pt idx="0">
                  <c:v>6275.7063728555459</c:v>
                </c:pt>
                <c:pt idx="1">
                  <c:v>15949.715134052454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F13-4821-8753-A0883F908DAA}"/>
            </c:ext>
          </c:extLst>
        </c:ser>
        <c:ser>
          <c:idx val="5"/>
          <c:order val="5"/>
          <c:tx>
            <c:v>Q1</c:v>
          </c:tx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Curves'!$P$24:$P$25</c:f>
              <c:numCache>
                <c:formatCode>#,##0</c:formatCode>
                <c:ptCount val="2"/>
                <c:pt idx="0">
                  <c:v>446.10325681719377</c:v>
                </c:pt>
                <c:pt idx="1">
                  <c:v>446.10325681719377</c:v>
                </c:pt>
              </c:numCache>
            </c:numRef>
          </c:xVal>
          <c:yVal>
            <c:numRef>
              <c:f>'Supply &amp; Demand Curves'!$O$24:$O$25</c:f>
              <c:numCache>
                <c:formatCode>#,##0</c:formatCode>
                <c:ptCount val="2"/>
                <c:pt idx="0">
                  <c:v>6275.7063728555459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F13-4821-8753-A0883F908DAA}"/>
            </c:ext>
          </c:extLst>
        </c:ser>
        <c:ser>
          <c:idx val="6"/>
          <c:order val="6"/>
          <c:tx>
            <c:v>P1</c:v>
          </c:tx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Curves'!$P$21:$P$22</c:f>
              <c:numCache>
                <c:formatCode>#,##0</c:formatCode>
                <c:ptCount val="2"/>
                <c:pt idx="0">
                  <c:v>0</c:v>
                </c:pt>
                <c:pt idx="1">
                  <c:v>446.10325681719377</c:v>
                </c:pt>
              </c:numCache>
            </c:numRef>
          </c:xVal>
          <c:yVal>
            <c:numRef>
              <c:f>'Supply &amp; Demand Curves'!$O$21:$O$22</c:f>
              <c:numCache>
                <c:formatCode>#,##0</c:formatCode>
                <c:ptCount val="2"/>
                <c:pt idx="0">
                  <c:v>6275.7063728555459</c:v>
                </c:pt>
                <c:pt idx="1">
                  <c:v>6275.7063728555459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F13-4821-8753-A0883F908DAA}"/>
            </c:ext>
          </c:extLst>
        </c:ser>
        <c:ser>
          <c:idx val="7"/>
          <c:order val="7"/>
          <c:tx>
            <c:v>S1</c:v>
          </c:tx>
          <c:spPr>
            <a:ln w="19050" cap="flat" cmpd="sng" algn="ctr">
              <a:solidFill>
                <a:srgbClr val="00B0F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Curves'!$X$45:$X$47</c:f>
              <c:numCache>
                <c:formatCode>#,##0</c:formatCode>
                <c:ptCount val="3"/>
                <c:pt idx="0">
                  <c:v>735.49859652256089</c:v>
                </c:pt>
                <c:pt idx="1">
                  <c:v>427.27739028825965</c:v>
                </c:pt>
                <c:pt idx="2">
                  <c:v>227.37840763715087</c:v>
                </c:pt>
              </c:numCache>
            </c:numRef>
          </c:xVal>
          <c:yVal>
            <c:numRef>
              <c:f>'Supply &amp; Demand Curves'!$W$45:$W$47</c:f>
              <c:numCache>
                <c:formatCode>#,##0</c:formatCode>
                <c:ptCount val="3"/>
                <c:pt idx="0">
                  <c:v>16989.846896034098</c:v>
                </c:pt>
                <c:pt idx="1">
                  <c:v>6683.9562454016741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F13-4821-8753-A0883F908DAA}"/>
            </c:ext>
          </c:extLst>
        </c:ser>
        <c:ser>
          <c:idx val="8"/>
          <c:order val="8"/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Curves'!$X$50:$X$51</c:f>
              <c:numCache>
                <c:formatCode>#,##0</c:formatCode>
                <c:ptCount val="2"/>
                <c:pt idx="0">
                  <c:v>0</c:v>
                </c:pt>
                <c:pt idx="1">
                  <c:v>427.27739028825965</c:v>
                </c:pt>
              </c:numCache>
            </c:numRef>
          </c:xVal>
          <c:yVal>
            <c:numRef>
              <c:f>'Supply &amp; Demand Curves'!$W$50:$W$51</c:f>
              <c:numCache>
                <c:formatCode>#,##0</c:formatCode>
                <c:ptCount val="2"/>
                <c:pt idx="0">
                  <c:v>6683.9562454016741</c:v>
                </c:pt>
                <c:pt idx="1">
                  <c:v>6683.9562454016741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F13-4821-8753-A0883F908DAA}"/>
            </c:ext>
          </c:extLst>
        </c:ser>
        <c:ser>
          <c:idx val="9"/>
          <c:order val="9"/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Curves'!$X$53:$X$54</c:f>
              <c:numCache>
                <c:formatCode>#,##0</c:formatCode>
                <c:ptCount val="2"/>
                <c:pt idx="0">
                  <c:v>427.27739028825965</c:v>
                </c:pt>
                <c:pt idx="1">
                  <c:v>427.27739028825965</c:v>
                </c:pt>
              </c:numCache>
            </c:numRef>
          </c:xVal>
          <c:yVal>
            <c:numRef>
              <c:f>'Supply &amp; Demand Curves'!$W$53:$W$54</c:f>
              <c:numCache>
                <c:formatCode>#,##0</c:formatCode>
                <c:ptCount val="2"/>
                <c:pt idx="0">
                  <c:v>6683.9562454016741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F13-4821-8753-A0883F908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5873720"/>
        <c:axId val="1255872736"/>
      </c:scatterChart>
      <c:valAx>
        <c:axId val="1255873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Quantity (tonnes)</a:t>
                </a:r>
              </a:p>
            </c:rich>
          </c:tx>
          <c:layout>
            <c:manualLayout>
              <c:xMode val="edge"/>
              <c:yMode val="edge"/>
              <c:x val="0.41841782415466705"/>
              <c:y val="0.932186473839827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872736"/>
        <c:crosses val="autoZero"/>
        <c:crossBetween val="midCat"/>
      </c:valAx>
      <c:valAx>
        <c:axId val="125587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Price (US$ 2010 per tonne)</a:t>
                </a:r>
              </a:p>
            </c:rich>
          </c:tx>
          <c:layout>
            <c:manualLayout>
              <c:xMode val="edge"/>
              <c:yMode val="edge"/>
              <c:x val="7.6012306976657364E-3"/>
              <c:y val="0.243011398425570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873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6733870244093632"/>
          <c:y val="1.6284991627761852E-2"/>
          <c:w val="0.76918866433474031"/>
          <c:h val="5.430208672645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27173838916722"/>
          <c:y val="7.0568297053634682E-2"/>
          <c:w val="0.78611567151054074"/>
          <c:h val="0.79322591365321293"/>
        </c:manualLayout>
      </c:layout>
      <c:scatterChart>
        <c:scatterStyle val="smoothMarker"/>
        <c:varyColors val="0"/>
        <c:ser>
          <c:idx val="0"/>
          <c:order val="0"/>
          <c:tx>
            <c:v>D0</c:v>
          </c:tx>
          <c:spPr>
            <a:ln w="19050" cap="flat" cmpd="sng" algn="ctr">
              <a:solidFill>
                <a:srgbClr val="C0000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Curves'!$H$12:$H$14</c:f>
              <c:numCache>
                <c:formatCode>#,##0</c:formatCode>
                <c:ptCount val="3"/>
                <c:pt idx="0">
                  <c:v>418.14550056834003</c:v>
                </c:pt>
                <c:pt idx="1">
                  <c:v>0</c:v>
                </c:pt>
                <c:pt idx="2">
                  <c:v>664.4332004030922</c:v>
                </c:pt>
              </c:numCache>
            </c:numRef>
          </c:xVal>
          <c:yVal>
            <c:numRef>
              <c:f>'Supply &amp; Demand Curves'!$G$12:$G$14</c:f>
              <c:numCache>
                <c:formatCode>#,##0</c:formatCode>
                <c:ptCount val="3"/>
                <c:pt idx="0">
                  <c:v>5340.8921131297102</c:v>
                </c:pt>
                <c:pt idx="1">
                  <c:v>14408.620658341442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EB-4127-BA3B-F4727870151C}"/>
            </c:ext>
          </c:extLst>
        </c:ser>
        <c:ser>
          <c:idx val="1"/>
          <c:order val="1"/>
          <c:tx>
            <c:v>S0</c:v>
          </c:tx>
          <c:spPr>
            <a:ln w="19050" cap="flat" cmpd="sng" algn="ctr">
              <a:solidFill>
                <a:srgbClr val="0070C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Curves'!$P$16:$P$18</c:f>
              <c:numCache>
                <c:formatCode>#,##0</c:formatCode>
                <c:ptCount val="3"/>
                <c:pt idx="0">
                  <c:v>735.49859652256089</c:v>
                </c:pt>
                <c:pt idx="1">
                  <c:v>446.10325681719377</c:v>
                </c:pt>
                <c:pt idx="2">
                  <c:v>258.41391935123409</c:v>
                </c:pt>
              </c:numCache>
            </c:numRef>
          </c:xVal>
          <c:yVal>
            <c:numRef>
              <c:f>'Supply &amp; Demand Curves'!$O$16:$O$18</c:f>
              <c:numCache>
                <c:formatCode>#,##0</c:formatCode>
                <c:ptCount val="3"/>
                <c:pt idx="0">
                  <c:v>15952.122743567368</c:v>
                </c:pt>
                <c:pt idx="1">
                  <c:v>6275.7063728555459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EB-4127-BA3B-F4727870151C}"/>
            </c:ext>
          </c:extLst>
        </c:ser>
        <c:ser>
          <c:idx val="2"/>
          <c:order val="2"/>
          <c:tx>
            <c:v>P0</c:v>
          </c:tx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Curves'!$H$21:$H$22</c:f>
              <c:numCache>
                <c:formatCode>#,##0</c:formatCode>
                <c:ptCount val="2"/>
                <c:pt idx="0">
                  <c:v>0</c:v>
                </c:pt>
                <c:pt idx="1">
                  <c:v>418.14550056834003</c:v>
                </c:pt>
              </c:numCache>
            </c:numRef>
          </c:xVal>
          <c:yVal>
            <c:numRef>
              <c:f>'Supply &amp; Demand Curves'!$G$21:$G$22</c:f>
              <c:numCache>
                <c:formatCode>#,##0</c:formatCode>
                <c:ptCount val="2"/>
                <c:pt idx="0">
                  <c:v>5340.8921131297102</c:v>
                </c:pt>
                <c:pt idx="1">
                  <c:v>5340.8921131297102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EB-4127-BA3B-F4727870151C}"/>
            </c:ext>
          </c:extLst>
        </c:ser>
        <c:ser>
          <c:idx val="3"/>
          <c:order val="3"/>
          <c:tx>
            <c:v>Q0</c:v>
          </c:tx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Curves'!$H$24:$H$25</c:f>
              <c:numCache>
                <c:formatCode>#,##0</c:formatCode>
                <c:ptCount val="2"/>
                <c:pt idx="0">
                  <c:v>418.14550056834003</c:v>
                </c:pt>
                <c:pt idx="1">
                  <c:v>418.14550056834003</c:v>
                </c:pt>
              </c:numCache>
            </c:numRef>
          </c:xVal>
          <c:yVal>
            <c:numRef>
              <c:f>'Supply &amp; Demand Curves'!$G$24:$G$25</c:f>
              <c:numCache>
                <c:formatCode>#,##0</c:formatCode>
                <c:ptCount val="2"/>
                <c:pt idx="0">
                  <c:v>5340.8921131297102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EB-4127-BA3B-F4727870151C}"/>
            </c:ext>
          </c:extLst>
        </c:ser>
        <c:ser>
          <c:idx val="4"/>
          <c:order val="4"/>
          <c:tx>
            <c:v>D1</c:v>
          </c:tx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Curves'!$X$12:$X$14</c:f>
              <c:numCache>
                <c:formatCode>#,##0</c:formatCode>
                <c:ptCount val="3"/>
                <c:pt idx="0">
                  <c:v>452.02325869881582</c:v>
                </c:pt>
                <c:pt idx="1">
                  <c:v>0</c:v>
                </c:pt>
                <c:pt idx="2">
                  <c:v>750.54655942061061</c:v>
                </c:pt>
              </c:numCache>
            </c:numRef>
          </c:xVal>
          <c:yVal>
            <c:numRef>
              <c:f>'Supply &amp; Demand Curves'!$W$12:$W$14</c:f>
              <c:numCache>
                <c:formatCode>#,##0</c:formatCode>
                <c:ptCount val="3"/>
                <c:pt idx="0">
                  <c:v>6473.6515200728209</c:v>
                </c:pt>
                <c:pt idx="1">
                  <c:v>16276.038967580425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5EB-4127-BA3B-F4727870151C}"/>
            </c:ext>
          </c:extLst>
        </c:ser>
        <c:ser>
          <c:idx val="5"/>
          <c:order val="5"/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Curves'!$X$24:$X$25</c:f>
              <c:numCache>
                <c:formatCode>#,##0</c:formatCode>
                <c:ptCount val="2"/>
                <c:pt idx="0">
                  <c:v>452.02325869881582</c:v>
                </c:pt>
                <c:pt idx="1">
                  <c:v>452.02325869881582</c:v>
                </c:pt>
              </c:numCache>
            </c:numRef>
          </c:xVal>
          <c:yVal>
            <c:numRef>
              <c:f>'Supply &amp; Demand Curves'!$W$24:$W$25</c:f>
              <c:numCache>
                <c:formatCode>#,##0</c:formatCode>
                <c:ptCount val="2"/>
                <c:pt idx="0">
                  <c:v>6473.6515200728209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EB-4127-BA3B-F4727870151C}"/>
            </c:ext>
          </c:extLst>
        </c:ser>
        <c:ser>
          <c:idx val="6"/>
          <c:order val="6"/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Curves'!$X$21:$X$22</c:f>
              <c:numCache>
                <c:formatCode>#,##0</c:formatCode>
                <c:ptCount val="2"/>
                <c:pt idx="0">
                  <c:v>0</c:v>
                </c:pt>
                <c:pt idx="1">
                  <c:v>452.02325869881582</c:v>
                </c:pt>
              </c:numCache>
            </c:numRef>
          </c:xVal>
          <c:yVal>
            <c:numRef>
              <c:f>'Supply &amp; Demand Curves'!$W$21:$W$22</c:f>
              <c:numCache>
                <c:formatCode>#,##0</c:formatCode>
                <c:ptCount val="2"/>
                <c:pt idx="0">
                  <c:v>6473.6515200728209</c:v>
                </c:pt>
                <c:pt idx="1">
                  <c:v>6473.6515200728209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5EB-4127-BA3B-F4727870151C}"/>
            </c:ext>
          </c:extLst>
        </c:ser>
        <c:ser>
          <c:idx val="7"/>
          <c:order val="7"/>
          <c:tx>
            <c:v>S1</c:v>
          </c:tx>
          <c:spPr>
            <a:ln w="19050" cap="flat" cmpd="sng" algn="ctr">
              <a:solidFill>
                <a:srgbClr val="00B0F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Curves'!$AF$45:$AF$47</c:f>
              <c:numCache>
                <c:formatCode>#,##0</c:formatCode>
                <c:ptCount val="3"/>
                <c:pt idx="0">
                  <c:v>750.54655942061061</c:v>
                </c:pt>
                <c:pt idx="1">
                  <c:v>432.78983802354344</c:v>
                </c:pt>
                <c:pt idx="2">
                  <c:v>226.70653144683766</c:v>
                </c:pt>
              </c:numCache>
            </c:numRef>
          </c:xVal>
          <c:yVal>
            <c:numRef>
              <c:f>'Supply &amp; Demand Curves'!$AE$45:$AE$47</c:f>
              <c:numCache>
                <c:formatCode>#,##0</c:formatCode>
                <c:ptCount val="3"/>
                <c:pt idx="0">
                  <c:v>17515.465962514074</c:v>
                </c:pt>
                <c:pt idx="1">
                  <c:v>6890.7394414833952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5EB-4127-BA3B-F4727870151C}"/>
            </c:ext>
          </c:extLst>
        </c:ser>
        <c:ser>
          <c:idx val="8"/>
          <c:order val="8"/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Curves'!$AF$53:$AF$54</c:f>
              <c:numCache>
                <c:formatCode>#,##0</c:formatCode>
                <c:ptCount val="2"/>
                <c:pt idx="0">
                  <c:v>432.78983802354344</c:v>
                </c:pt>
                <c:pt idx="1">
                  <c:v>432.78983802354344</c:v>
                </c:pt>
              </c:numCache>
            </c:numRef>
          </c:xVal>
          <c:yVal>
            <c:numRef>
              <c:f>'Supply &amp; Demand Curves'!$AE$53:$AE$54</c:f>
              <c:numCache>
                <c:formatCode>#,##0</c:formatCode>
                <c:ptCount val="2"/>
                <c:pt idx="0">
                  <c:v>6890.7394414833952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5EB-4127-BA3B-F4727870151C}"/>
            </c:ext>
          </c:extLst>
        </c:ser>
        <c:ser>
          <c:idx val="9"/>
          <c:order val="9"/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noFill/>
                <a:round/>
              </a:ln>
              <a:effectLst/>
            </c:spPr>
          </c:marker>
          <c:xVal>
            <c:numRef>
              <c:f>'Supply &amp; Demand Curves'!$AF$50:$AF$51</c:f>
              <c:numCache>
                <c:formatCode>#,##0</c:formatCode>
                <c:ptCount val="2"/>
                <c:pt idx="0">
                  <c:v>0</c:v>
                </c:pt>
                <c:pt idx="1">
                  <c:v>432.78983802354344</c:v>
                </c:pt>
              </c:numCache>
            </c:numRef>
          </c:xVal>
          <c:yVal>
            <c:numRef>
              <c:f>'Supply &amp; Demand Curves'!$AE$50:$AE$51</c:f>
              <c:numCache>
                <c:formatCode>#,##0</c:formatCode>
                <c:ptCount val="2"/>
                <c:pt idx="0">
                  <c:v>6890.7394414833952</c:v>
                </c:pt>
                <c:pt idx="1">
                  <c:v>6890.7394414833952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5EB-4127-BA3B-F47278701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5873720"/>
        <c:axId val="1255872736"/>
      </c:scatterChart>
      <c:valAx>
        <c:axId val="1255873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Quantity (tonnes)</a:t>
                </a:r>
              </a:p>
            </c:rich>
          </c:tx>
          <c:layout>
            <c:manualLayout>
              <c:xMode val="edge"/>
              <c:yMode val="edge"/>
              <c:x val="0.41841782415466705"/>
              <c:y val="0.932186473839827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872736"/>
        <c:crosses val="autoZero"/>
        <c:crossBetween val="midCat"/>
      </c:valAx>
      <c:valAx>
        <c:axId val="125587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Price (US$ 2010 per tonne)</a:t>
                </a:r>
              </a:p>
            </c:rich>
          </c:tx>
          <c:layout>
            <c:manualLayout>
              <c:xMode val="edge"/>
              <c:yMode val="edge"/>
              <c:x val="7.6012306976657364E-3"/>
              <c:y val="0.243011398425570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873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6733870244093632"/>
          <c:y val="1.6284991627761852E-2"/>
          <c:w val="0.83266138987640737"/>
          <c:h val="5.430208672645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84778682179636E-2"/>
          <c:y val="3.8812110489771609E-2"/>
          <c:w val="0.61888619783725463"/>
          <c:h val="0.872796294485290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'Climate Case Calcs.'!$I$6:$I$11</c:f>
              <c:strCache>
                <c:ptCount val="6"/>
                <c:pt idx="0">
                  <c:v>-3.0%</c:v>
                </c:pt>
                <c:pt idx="1">
                  <c:v>-1.2%</c:v>
                </c:pt>
                <c:pt idx="2">
                  <c:v>-4.3%</c:v>
                </c:pt>
                <c:pt idx="3">
                  <c:v>-3.7%</c:v>
                </c:pt>
                <c:pt idx="4">
                  <c:v>0.0%</c:v>
                </c:pt>
                <c:pt idx="5">
                  <c:v>-3.6%</c:v>
                </c:pt>
              </c:strCache>
            </c:strRef>
          </c:tx>
          <c:spPr>
            <a:noFill/>
            <a:ln w="25400"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strRef>
              <c:f>'Base &amp; Ref. Case Calcs.'!$D$6:$D$11</c:f>
              <c:strCache>
                <c:ptCount val="6"/>
                <c:pt idx="0">
                  <c:v>Demersals</c:v>
                </c:pt>
                <c:pt idx="1">
                  <c:v>Tuna &amp; billfishes</c:v>
                </c:pt>
                <c:pt idx="2">
                  <c:v>Other palegic</c:v>
                </c:pt>
                <c:pt idx="3">
                  <c:v>Other marine</c:v>
                </c:pt>
                <c:pt idx="4">
                  <c:v>Crustaceans</c:v>
                </c:pt>
                <c:pt idx="5">
                  <c:v>All species</c:v>
                </c:pt>
              </c:strCache>
            </c:strRef>
          </c:cat>
          <c:val>
            <c:numRef>
              <c:f>'Climate Case Calcs.'!$I$6:$I$11</c:f>
              <c:numCache>
                <c:formatCode>0.0%</c:formatCode>
                <c:ptCount val="6"/>
                <c:pt idx="0">
                  <c:v>-3.0429475457792066E-2</c:v>
                </c:pt>
                <c:pt idx="1">
                  <c:v>-1.2496325288300025E-2</c:v>
                </c:pt>
                <c:pt idx="2">
                  <c:v>-4.2526599052466807E-2</c:v>
                </c:pt>
                <c:pt idx="3">
                  <c:v>-3.6880779373656525E-2</c:v>
                </c:pt>
                <c:pt idx="4">
                  <c:v>0</c:v>
                </c:pt>
                <c:pt idx="5">
                  <c:v>-3.5608001551968194E-2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3-4043-96D8-E0047D3E5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8733608"/>
        <c:axId val="558734264"/>
      </c:barChart>
      <c:catAx>
        <c:axId val="558733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34264"/>
        <c:crosses val="autoZero"/>
        <c:auto val="1"/>
        <c:lblAlgn val="ctr"/>
        <c:lblOffset val="100"/>
        <c:noMultiLvlLbl val="0"/>
      </c:catAx>
      <c:valAx>
        <c:axId val="558734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33608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84778682179636E-2"/>
          <c:y val="3.8812110489771609E-2"/>
          <c:w val="0.61888619783725463"/>
          <c:h val="0.87279629448529084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5400"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strRef>
              <c:f>'Base &amp; Ref. Case Calcs.'!$D$6:$D$11</c:f>
              <c:strCache>
                <c:ptCount val="6"/>
                <c:pt idx="0">
                  <c:v>Demersals</c:v>
                </c:pt>
                <c:pt idx="1">
                  <c:v>Tuna &amp; billfishes</c:v>
                </c:pt>
                <c:pt idx="2">
                  <c:v>Other palegic</c:v>
                </c:pt>
                <c:pt idx="3">
                  <c:v>Other marine</c:v>
                </c:pt>
                <c:pt idx="4">
                  <c:v>Crustaceans</c:v>
                </c:pt>
                <c:pt idx="5">
                  <c:v>All species</c:v>
                </c:pt>
              </c:strCache>
            </c:strRef>
          </c:cat>
          <c:val>
            <c:numRef>
              <c:f>'Climate Case Calcs.'!$P$6:$P$11</c:f>
              <c:numCache>
                <c:formatCode>0.0%</c:formatCode>
                <c:ptCount val="6"/>
                <c:pt idx="0">
                  <c:v>-3.8873782339324814E-2</c:v>
                </c:pt>
                <c:pt idx="1">
                  <c:v>-1.4543377390196621E-2</c:v>
                </c:pt>
                <c:pt idx="2">
                  <c:v>-5.0759558725560927E-2</c:v>
                </c:pt>
                <c:pt idx="3">
                  <c:v>-4.4588407308657096E-2</c:v>
                </c:pt>
                <c:pt idx="4">
                  <c:v>0</c:v>
                </c:pt>
                <c:pt idx="5">
                  <c:v>-4.2996540961082297E-2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B-48C3-B89B-2EF67B209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8733608"/>
        <c:axId val="558734264"/>
      </c:barChart>
      <c:catAx>
        <c:axId val="558733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34264"/>
        <c:crosses val="autoZero"/>
        <c:auto val="1"/>
        <c:lblAlgn val="ctr"/>
        <c:lblOffset val="100"/>
        <c:noMultiLvlLbl val="0"/>
      </c:catAx>
      <c:valAx>
        <c:axId val="558734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33608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58338</xdr:colOff>
      <xdr:row>8</xdr:row>
      <xdr:rowOff>47624</xdr:rowOff>
    </xdr:from>
    <xdr:to>
      <xdr:col>8</xdr:col>
      <xdr:colOff>876300</xdr:colOff>
      <xdr:row>34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4C9C20-7B61-41D6-9D48-E227C153C4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51707</xdr:colOff>
      <xdr:row>8</xdr:row>
      <xdr:rowOff>46265</xdr:rowOff>
    </xdr:from>
    <xdr:to>
      <xdr:col>16</xdr:col>
      <xdr:colOff>869670</xdr:colOff>
      <xdr:row>34</xdr:row>
      <xdr:rowOff>136753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E9CA59-4BB4-40C0-8E2C-550741B01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35379</xdr:colOff>
      <xdr:row>8</xdr:row>
      <xdr:rowOff>55789</xdr:rowOff>
    </xdr:from>
    <xdr:to>
      <xdr:col>24</xdr:col>
      <xdr:colOff>853341</xdr:colOff>
      <xdr:row>34</xdr:row>
      <xdr:rowOff>146277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35C04EF-38AB-44A1-BC47-80CBC48F3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34017</xdr:colOff>
      <xdr:row>37</xdr:row>
      <xdr:rowOff>61231</xdr:rowOff>
    </xdr:from>
    <xdr:to>
      <xdr:col>8</xdr:col>
      <xdr:colOff>851980</xdr:colOff>
      <xdr:row>63</xdr:row>
      <xdr:rowOff>151719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0ECEC8B-7E4E-4D4D-8E5B-515474746B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61232</xdr:colOff>
      <xdr:row>37</xdr:row>
      <xdr:rowOff>61232</xdr:rowOff>
    </xdr:from>
    <xdr:to>
      <xdr:col>16</xdr:col>
      <xdr:colOff>879193</xdr:colOff>
      <xdr:row>63</xdr:row>
      <xdr:rowOff>151720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7020FAB-EC47-4BE9-831C-6838A2A3E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40821</xdr:colOff>
      <xdr:row>37</xdr:row>
      <xdr:rowOff>54429</xdr:rowOff>
    </xdr:from>
    <xdr:to>
      <xdr:col>24</xdr:col>
      <xdr:colOff>858785</xdr:colOff>
      <xdr:row>63</xdr:row>
      <xdr:rowOff>144917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71067F9-3AA2-4059-A63E-9C96DF6BC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81643</xdr:colOff>
      <xdr:row>37</xdr:row>
      <xdr:rowOff>47626</xdr:rowOff>
    </xdr:from>
    <xdr:to>
      <xdr:col>33</xdr:col>
      <xdr:colOff>1533</xdr:colOff>
      <xdr:row>63</xdr:row>
      <xdr:rowOff>138114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5EF37A7-6AE7-4AE5-B653-5CF8B93FE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465666</xdr:colOff>
      <xdr:row>3</xdr:row>
      <xdr:rowOff>10583</xdr:rowOff>
    </xdr:from>
    <xdr:to>
      <xdr:col>9</xdr:col>
      <xdr:colOff>195792</xdr:colOff>
      <xdr:row>23</xdr:row>
      <xdr:rowOff>11642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B4F51E-32BA-4EAD-B8A9-C31ABF8B2F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486833</xdr:colOff>
      <xdr:row>3</xdr:row>
      <xdr:rowOff>0</xdr:rowOff>
    </xdr:from>
    <xdr:to>
      <xdr:col>21</xdr:col>
      <xdr:colOff>182565</xdr:colOff>
      <xdr:row>23</xdr:row>
      <xdr:rowOff>1058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6F0B3D-63A4-419C-B706-ED2E788DD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433917</xdr:colOff>
      <xdr:row>26</xdr:row>
      <xdr:rowOff>0</xdr:rowOff>
    </xdr:from>
    <xdr:to>
      <xdr:col>9</xdr:col>
      <xdr:colOff>150813</xdr:colOff>
      <xdr:row>46</xdr:row>
      <xdr:rowOff>1059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FC0480-B8DC-4669-A690-0F578AA86E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507999</xdr:colOff>
      <xdr:row>26</xdr:row>
      <xdr:rowOff>0</xdr:rowOff>
    </xdr:from>
    <xdr:to>
      <xdr:col>21</xdr:col>
      <xdr:colOff>193148</xdr:colOff>
      <xdr:row>46</xdr:row>
      <xdr:rowOff>1059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B1ECF76-B224-422B-BBB1-83A14D772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47626</xdr:colOff>
      <xdr:row>2</xdr:row>
      <xdr:rowOff>121708</xdr:rowOff>
    </xdr:from>
    <xdr:to>
      <xdr:col>34</xdr:col>
      <xdr:colOff>597959</xdr:colOff>
      <xdr:row>22</xdr:row>
      <xdr:rowOff>122767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7EEA9D-7E4C-4E2B-86BB-11E2912434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1086303</xdr:colOff>
      <xdr:row>50</xdr:row>
      <xdr:rowOff>27668</xdr:rowOff>
    </xdr:from>
    <xdr:to>
      <xdr:col>8</xdr:col>
      <xdr:colOff>824745</xdr:colOff>
      <xdr:row>69</xdr:row>
      <xdr:rowOff>28726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335A4B-6F8A-4359-B4F1-CCD3244DC8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1198184</xdr:colOff>
      <xdr:row>71</xdr:row>
      <xdr:rowOff>29483</xdr:rowOff>
    </xdr:from>
    <xdr:to>
      <xdr:col>8</xdr:col>
      <xdr:colOff>796018</xdr:colOff>
      <xdr:row>90</xdr:row>
      <xdr:rowOff>30541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D1B320-4041-4907-9F64-F3971813B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1102933</xdr:colOff>
      <xdr:row>50</xdr:row>
      <xdr:rowOff>40065</xdr:rowOff>
    </xdr:from>
    <xdr:to>
      <xdr:col>18</xdr:col>
      <xdr:colOff>842888</xdr:colOff>
      <xdr:row>69</xdr:row>
      <xdr:rowOff>41123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918DEBB-B72A-435A-8537-4E771CCD0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1230690</xdr:colOff>
      <xdr:row>71</xdr:row>
      <xdr:rowOff>27215</xdr:rowOff>
    </xdr:from>
    <xdr:to>
      <xdr:col>18</xdr:col>
      <xdr:colOff>828524</xdr:colOff>
      <xdr:row>90</xdr:row>
      <xdr:rowOff>28273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06181FF-E625-4214-9E2B-DE62EC719D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47E68-7B85-463E-AE19-5BBEA15520C2}">
  <dimension ref="B1:J45"/>
  <sheetViews>
    <sheetView showGridLines="0" tabSelected="1" zoomScale="90" zoomScaleNormal="90" workbookViewId="0">
      <selection activeCell="C39" sqref="C39:E43"/>
    </sheetView>
  </sheetViews>
  <sheetFormatPr defaultRowHeight="13.15" x14ac:dyDescent="0.45"/>
  <cols>
    <col min="1" max="1" width="2.59765625" style="2" customWidth="1"/>
    <col min="2" max="2" width="27.86328125" style="2" customWidth="1"/>
    <col min="3" max="10" width="18.59765625" style="2" customWidth="1"/>
    <col min="11" max="16384" width="9.06640625" style="2"/>
  </cols>
  <sheetData>
    <row r="1" spans="2:10" ht="5" customHeight="1" x14ac:dyDescent="0.45"/>
    <row r="2" spans="2:10" ht="20" customHeight="1" x14ac:dyDescent="0.45">
      <c r="B2" s="3" t="s">
        <v>27</v>
      </c>
      <c r="C2" s="3"/>
    </row>
    <row r="3" spans="2:10" ht="5" customHeight="1" x14ac:dyDescent="0.45">
      <c r="B3" s="3"/>
      <c r="C3" s="3"/>
    </row>
    <row r="4" spans="2:10" ht="30" customHeight="1" x14ac:dyDescent="0.45">
      <c r="B4" s="4"/>
      <c r="C4" s="4"/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 t="s">
        <v>0</v>
      </c>
    </row>
    <row r="5" spans="2:10" ht="20" customHeight="1" x14ac:dyDescent="0.45">
      <c r="B5" s="8" t="s">
        <v>4</v>
      </c>
      <c r="C5" s="8" t="s">
        <v>10</v>
      </c>
      <c r="D5" s="162">
        <v>5340.8921131297102</v>
      </c>
      <c r="E5" s="162">
        <v>2383.6613161539653</v>
      </c>
      <c r="F5" s="162">
        <v>2618.8930467141254</v>
      </c>
      <c r="G5" s="162">
        <v>1215.6243966335246</v>
      </c>
      <c r="H5" s="162">
        <v>7086.66</v>
      </c>
      <c r="I5" s="58">
        <f>SUM(D5:H5)</f>
        <v>18645.730872631324</v>
      </c>
    </row>
    <row r="6" spans="2:10" ht="20" customHeight="1" x14ac:dyDescent="0.45">
      <c r="B6" s="8" t="s">
        <v>40</v>
      </c>
      <c r="C6" s="8" t="s">
        <v>12</v>
      </c>
      <c r="D6" s="58">
        <f t="shared" ref="D6:H6" si="0">D7*D5</f>
        <v>2233270.0061261221</v>
      </c>
      <c r="E6" s="58">
        <f t="shared" si="0"/>
        <v>357643.43661080749</v>
      </c>
      <c r="F6" s="58">
        <f t="shared" si="0"/>
        <v>2894399.4506223891</v>
      </c>
      <c r="G6" s="58">
        <f t="shared" si="0"/>
        <v>281052.01538566157</v>
      </c>
      <c r="H6" s="58">
        <f t="shared" si="0"/>
        <v>324583.20131999999</v>
      </c>
      <c r="I6" s="58">
        <f>SUM(D6:H6)</f>
        <v>6090948.1100649796</v>
      </c>
    </row>
    <row r="7" spans="2:10" ht="20" customHeight="1" x14ac:dyDescent="0.45">
      <c r="B7" s="9" t="s">
        <v>38</v>
      </c>
      <c r="C7" s="8" t="s">
        <v>11</v>
      </c>
      <c r="D7" s="162">
        <v>418.14550056834003</v>
      </c>
      <c r="E7" s="162">
        <v>150.03953547724001</v>
      </c>
      <c r="F7" s="162">
        <v>1105.1995629428</v>
      </c>
      <c r="G7" s="162">
        <v>231.19971609979999</v>
      </c>
      <c r="H7" s="162">
        <v>45.802</v>
      </c>
      <c r="I7" s="58">
        <f>SUM(D7:H7)</f>
        <v>1950.38631508818</v>
      </c>
    </row>
    <row r="8" spans="2:10" ht="20" customHeight="1" x14ac:dyDescent="0.45">
      <c r="B8" s="9" t="s">
        <v>39</v>
      </c>
      <c r="C8" s="8" t="s">
        <v>11</v>
      </c>
      <c r="D8" s="162">
        <v>181.78350056834</v>
      </c>
      <c r="E8" s="162">
        <v>569.33953547724002</v>
      </c>
      <c r="F8" s="162">
        <v>669.59956294280005</v>
      </c>
      <c r="G8" s="162">
        <v>198.0237160998</v>
      </c>
      <c r="H8" s="162">
        <v>0</v>
      </c>
      <c r="I8" s="58">
        <f>SUM(D8:H8)</f>
        <v>1618.7463150881799</v>
      </c>
    </row>
    <row r="9" spans="2:10" ht="20" customHeight="1" x14ac:dyDescent="0.45">
      <c r="B9" s="8" t="s">
        <v>21</v>
      </c>
      <c r="C9" s="8" t="s">
        <v>11</v>
      </c>
      <c r="D9" s="56">
        <f t="shared" ref="D9:H9" si="1">D8-D7</f>
        <v>-236.36200000000002</v>
      </c>
      <c r="E9" s="56">
        <f t="shared" si="1"/>
        <v>419.3</v>
      </c>
      <c r="F9" s="56">
        <f t="shared" si="1"/>
        <v>-435.59999999999991</v>
      </c>
      <c r="G9" s="56">
        <f t="shared" si="1"/>
        <v>-33.175999999999988</v>
      </c>
      <c r="H9" s="56">
        <f t="shared" si="1"/>
        <v>-45.802</v>
      </c>
      <c r="I9" s="58">
        <f>SUM(D9:H9)</f>
        <v>-331.63999999999993</v>
      </c>
    </row>
    <row r="10" spans="2:10" ht="5" customHeight="1" x14ac:dyDescent="0.45">
      <c r="B10" s="50"/>
      <c r="C10" s="50"/>
      <c r="D10" s="51"/>
      <c r="E10" s="51"/>
      <c r="F10" s="51"/>
      <c r="G10" s="51"/>
      <c r="H10" s="51"/>
      <c r="I10" s="51"/>
      <c r="J10" s="52"/>
    </row>
    <row r="11" spans="2:10" ht="20" customHeight="1" x14ac:dyDescent="0.45">
      <c r="B11" s="147" t="s">
        <v>25</v>
      </c>
      <c r="C11" s="147"/>
      <c r="D11" s="147"/>
      <c r="E11" s="147"/>
      <c r="F11" s="147"/>
      <c r="G11" s="147"/>
      <c r="H11" s="147"/>
      <c r="I11" s="147"/>
      <c r="J11" s="147"/>
    </row>
    <row r="12" spans="2:10" ht="20" customHeight="1" x14ac:dyDescent="0.45">
      <c r="B12" s="147" t="s">
        <v>29</v>
      </c>
      <c r="C12" s="147"/>
      <c r="D12" s="147"/>
      <c r="E12" s="147"/>
      <c r="F12" s="147"/>
      <c r="G12" s="147"/>
      <c r="H12" s="147"/>
      <c r="I12" s="147"/>
      <c r="J12" s="147"/>
    </row>
    <row r="13" spans="2:10" ht="20" customHeight="1" x14ac:dyDescent="0.45">
      <c r="B13" s="147" t="s">
        <v>30</v>
      </c>
      <c r="C13" s="147"/>
      <c r="D13" s="147"/>
      <c r="E13" s="147"/>
      <c r="F13" s="147"/>
      <c r="G13" s="147"/>
      <c r="H13" s="147"/>
      <c r="I13" s="147"/>
      <c r="J13" s="147"/>
    </row>
    <row r="14" spans="2:10" ht="20" customHeight="1" x14ac:dyDescent="0.45">
      <c r="B14" s="147" t="s">
        <v>31</v>
      </c>
      <c r="C14" s="147"/>
      <c r="D14" s="147"/>
      <c r="E14" s="147"/>
      <c r="F14" s="147"/>
      <c r="G14" s="147"/>
      <c r="H14" s="147"/>
      <c r="I14" s="147"/>
      <c r="J14" s="147"/>
    </row>
    <row r="15" spans="2:10" ht="20" customHeight="1" x14ac:dyDescent="0.45">
      <c r="B15" s="147" t="s">
        <v>32</v>
      </c>
      <c r="C15" s="147"/>
      <c r="D15" s="147"/>
      <c r="E15" s="147"/>
      <c r="F15" s="147"/>
      <c r="G15" s="147"/>
      <c r="H15" s="147"/>
      <c r="I15" s="147"/>
      <c r="J15" s="147"/>
    </row>
    <row r="16" spans="2:10" ht="20" customHeight="1" x14ac:dyDescent="0.45">
      <c r="B16" s="147" t="s">
        <v>33</v>
      </c>
      <c r="C16" s="147"/>
      <c r="D16" s="147"/>
      <c r="E16" s="147"/>
      <c r="F16" s="147"/>
      <c r="G16" s="147"/>
      <c r="H16" s="147"/>
      <c r="I16" s="147"/>
      <c r="J16" s="147"/>
    </row>
    <row r="17" spans="2:10" ht="20" customHeight="1" x14ac:dyDescent="0.45">
      <c r="B17" s="147" t="s">
        <v>34</v>
      </c>
      <c r="C17" s="147"/>
      <c r="D17" s="147"/>
      <c r="E17" s="147"/>
      <c r="F17" s="147"/>
      <c r="G17" s="147"/>
      <c r="H17" s="147"/>
      <c r="I17" s="147"/>
      <c r="J17" s="147"/>
    </row>
    <row r="18" spans="2:10" ht="20" customHeight="1" x14ac:dyDescent="0.45">
      <c r="B18" s="147" t="s">
        <v>35</v>
      </c>
      <c r="C18" s="147"/>
      <c r="D18" s="147"/>
      <c r="E18" s="147"/>
      <c r="F18" s="147"/>
      <c r="G18" s="147"/>
      <c r="H18" s="147"/>
      <c r="I18" s="147"/>
      <c r="J18" s="147"/>
    </row>
    <row r="19" spans="2:10" ht="20" customHeight="1" x14ac:dyDescent="0.45">
      <c r="B19" s="147" t="s">
        <v>36</v>
      </c>
      <c r="C19" s="147"/>
      <c r="D19" s="147"/>
      <c r="E19" s="147"/>
      <c r="F19" s="147"/>
      <c r="G19" s="147"/>
      <c r="H19" s="147"/>
      <c r="I19" s="147"/>
      <c r="J19" s="147"/>
    </row>
    <row r="20" spans="2:10" ht="20" customHeight="1" x14ac:dyDescent="0.45">
      <c r="B20" s="147" t="s">
        <v>37</v>
      </c>
      <c r="C20" s="147"/>
      <c r="D20" s="147"/>
      <c r="E20" s="147"/>
      <c r="F20" s="147"/>
      <c r="G20" s="147"/>
      <c r="H20" s="147"/>
      <c r="I20" s="147"/>
      <c r="J20" s="147"/>
    </row>
    <row r="21" spans="2:10" ht="20" customHeight="1" x14ac:dyDescent="0.45"/>
    <row r="22" spans="2:10" ht="5" customHeight="1" x14ac:dyDescent="0.45">
      <c r="B22" s="5"/>
      <c r="C22" s="5"/>
      <c r="D22" s="6"/>
      <c r="E22" s="6"/>
      <c r="F22" s="6"/>
      <c r="G22" s="6"/>
      <c r="H22" s="6"/>
      <c r="I22" s="6"/>
    </row>
    <row r="23" spans="2:10" ht="20" customHeight="1" x14ac:dyDescent="0.45">
      <c r="B23" s="3" t="s">
        <v>46</v>
      </c>
      <c r="C23" s="3"/>
    </row>
    <row r="24" spans="2:10" ht="5" customHeight="1" x14ac:dyDescent="0.45">
      <c r="B24" s="3"/>
      <c r="C24" s="3"/>
    </row>
    <row r="25" spans="2:10" ht="30" customHeight="1" x14ac:dyDescent="0.45">
      <c r="B25" s="4"/>
      <c r="C25" s="17" t="s">
        <v>2</v>
      </c>
      <c r="D25" s="57" t="s">
        <v>3</v>
      </c>
      <c r="E25" s="57" t="s">
        <v>47</v>
      </c>
      <c r="G25"/>
      <c r="H25"/>
      <c r="I25"/>
    </row>
    <row r="26" spans="2:10" ht="20" customHeight="1" x14ac:dyDescent="0.45">
      <c r="B26" s="16" t="s">
        <v>5</v>
      </c>
      <c r="C26" s="145">
        <f>C39*(1+C$32)</f>
        <v>0.38200000000000001</v>
      </c>
      <c r="D26" s="146">
        <f>D39*(1+C$33)</f>
        <v>-0.58899999999999997</v>
      </c>
      <c r="E26" s="146">
        <f>E39*(1+C$34)</f>
        <v>0.79800000000000004</v>
      </c>
      <c r="G26"/>
      <c r="H26"/>
      <c r="I26"/>
    </row>
    <row r="27" spans="2:10" ht="20" customHeight="1" x14ac:dyDescent="0.45">
      <c r="B27" s="16" t="s">
        <v>6</v>
      </c>
      <c r="C27" s="145">
        <f>C40*(1+C$32)</f>
        <v>0.63400000000000001</v>
      </c>
      <c r="D27" s="146">
        <f>D40*(1+C$33)</f>
        <v>-0.497</v>
      </c>
      <c r="E27" s="146">
        <f>E40*(1+C$34)</f>
        <v>1.355</v>
      </c>
      <c r="G27"/>
      <c r="H27"/>
      <c r="I27"/>
    </row>
    <row r="28" spans="2:10" ht="20" customHeight="1" x14ac:dyDescent="0.45">
      <c r="B28" s="16" t="s">
        <v>7</v>
      </c>
      <c r="C28" s="145">
        <f>C41*(1+C$32)</f>
        <v>0.29399999999999998</v>
      </c>
      <c r="D28" s="146">
        <f>D41*(1+C$33)</f>
        <v>-0.60199999999999998</v>
      </c>
      <c r="E28" s="146">
        <f>E41*(1+C$34)</f>
        <v>0.64</v>
      </c>
      <c r="G28"/>
      <c r="H28"/>
      <c r="I28"/>
    </row>
    <row r="29" spans="2:10" ht="20" customHeight="1" x14ac:dyDescent="0.45">
      <c r="B29" s="16" t="s">
        <v>8</v>
      </c>
      <c r="C29" s="145">
        <f>C42*(1+C$32)</f>
        <v>0.33800000000000002</v>
      </c>
      <c r="D29" s="146">
        <f>D42*(1+C$33)</f>
        <v>-0.59599999999999997</v>
      </c>
      <c r="E29" s="146">
        <f>E42*(1+C$34)</f>
        <v>0.71900000000000008</v>
      </c>
      <c r="G29"/>
      <c r="H29"/>
      <c r="I29"/>
    </row>
    <row r="30" spans="2:10" ht="20" customHeight="1" x14ac:dyDescent="0.45">
      <c r="B30" s="16" t="s">
        <v>9</v>
      </c>
      <c r="C30" s="145">
        <f>C43*(1+C$32)</f>
        <v>1</v>
      </c>
      <c r="D30" s="146">
        <f>D43*(1+C$33)</f>
        <v>-0.69</v>
      </c>
      <c r="E30" s="146">
        <f>E43*(1+C$34)</f>
        <v>1.34</v>
      </c>
      <c r="G30"/>
      <c r="H30"/>
      <c r="I30"/>
    </row>
    <row r="31" spans="2:10" ht="5" customHeight="1" thickBot="1" x14ac:dyDescent="0.5"/>
    <row r="32" spans="2:10" ht="20" customHeight="1" thickBot="1" x14ac:dyDescent="0.5">
      <c r="B32" s="3" t="s">
        <v>153</v>
      </c>
      <c r="C32" s="163">
        <v>0</v>
      </c>
      <c r="D32" s="71" t="s">
        <v>175</v>
      </c>
    </row>
    <row r="33" spans="2:10" ht="20" customHeight="1" thickBot="1" x14ac:dyDescent="0.5">
      <c r="B33" s="3" t="s">
        <v>153</v>
      </c>
      <c r="C33" s="163">
        <v>0</v>
      </c>
      <c r="D33" s="71" t="s">
        <v>174</v>
      </c>
    </row>
    <row r="34" spans="2:10" ht="20" customHeight="1" thickBot="1" x14ac:dyDescent="0.5">
      <c r="B34" s="3" t="s">
        <v>153</v>
      </c>
      <c r="C34" s="163">
        <v>0</v>
      </c>
      <c r="D34" s="71" t="s">
        <v>176</v>
      </c>
    </row>
    <row r="36" spans="2:10" ht="20" customHeight="1" x14ac:dyDescent="0.45">
      <c r="B36" s="3" t="s">
        <v>46</v>
      </c>
      <c r="C36" s="3"/>
    </row>
    <row r="37" spans="2:10" ht="5" customHeight="1" x14ac:dyDescent="0.45">
      <c r="B37" s="3"/>
      <c r="C37" s="3"/>
    </row>
    <row r="38" spans="2:10" ht="30" customHeight="1" x14ac:dyDescent="0.45">
      <c r="B38" s="4"/>
      <c r="C38" s="17" t="s">
        <v>2</v>
      </c>
      <c r="D38" s="57" t="s">
        <v>3</v>
      </c>
      <c r="E38" s="57" t="s">
        <v>47</v>
      </c>
      <c r="G38"/>
      <c r="H38"/>
      <c r="I38"/>
    </row>
    <row r="39" spans="2:10" ht="20" customHeight="1" x14ac:dyDescent="0.45">
      <c r="B39" s="16" t="s">
        <v>5</v>
      </c>
      <c r="C39" s="164">
        <v>0.38200000000000001</v>
      </c>
      <c r="D39" s="165">
        <v>-0.58899999999999997</v>
      </c>
      <c r="E39" s="165">
        <v>0.79800000000000004</v>
      </c>
      <c r="G39"/>
      <c r="H39"/>
      <c r="I39"/>
    </row>
    <row r="40" spans="2:10" ht="20" customHeight="1" x14ac:dyDescent="0.45">
      <c r="B40" s="16" t="s">
        <v>6</v>
      </c>
      <c r="C40" s="164">
        <v>0.63400000000000001</v>
      </c>
      <c r="D40" s="165">
        <v>-0.497</v>
      </c>
      <c r="E40" s="165">
        <v>1.355</v>
      </c>
      <c r="G40"/>
      <c r="H40"/>
      <c r="I40"/>
    </row>
    <row r="41" spans="2:10" ht="20" customHeight="1" x14ac:dyDescent="0.45">
      <c r="B41" s="16" t="s">
        <v>7</v>
      </c>
      <c r="C41" s="164">
        <v>0.29399999999999998</v>
      </c>
      <c r="D41" s="165">
        <v>-0.60199999999999998</v>
      </c>
      <c r="E41" s="165">
        <v>0.64</v>
      </c>
      <c r="G41"/>
      <c r="H41"/>
      <c r="I41"/>
    </row>
    <row r="42" spans="2:10" ht="20" customHeight="1" x14ac:dyDescent="0.45">
      <c r="B42" s="16" t="s">
        <v>8</v>
      </c>
      <c r="C42" s="164">
        <v>0.33800000000000002</v>
      </c>
      <c r="D42" s="165">
        <v>-0.59599999999999997</v>
      </c>
      <c r="E42" s="165">
        <v>0.71900000000000008</v>
      </c>
      <c r="G42"/>
      <c r="H42"/>
      <c r="I42"/>
    </row>
    <row r="43" spans="2:10" ht="20" customHeight="1" x14ac:dyDescent="0.45">
      <c r="B43" s="16" t="s">
        <v>9</v>
      </c>
      <c r="C43" s="164">
        <v>1</v>
      </c>
      <c r="D43" s="165">
        <v>-0.69</v>
      </c>
      <c r="E43" s="165">
        <v>1.34</v>
      </c>
      <c r="G43"/>
      <c r="H43"/>
      <c r="I43"/>
    </row>
    <row r="44" spans="2:10" ht="5" customHeight="1" x14ac:dyDescent="0.45"/>
    <row r="45" spans="2:10" ht="20" customHeight="1" x14ac:dyDescent="0.45">
      <c r="B45" s="147" t="s">
        <v>25</v>
      </c>
      <c r="C45" s="147"/>
      <c r="D45" s="147"/>
      <c r="E45" s="147"/>
      <c r="F45" s="147"/>
      <c r="G45" s="147"/>
      <c r="H45" s="147"/>
      <c r="I45" s="147"/>
      <c r="J45" s="147"/>
    </row>
  </sheetData>
  <sheetProtection algorithmName="SHA-512" hashValue="KYjiFDvA86IF0okNyKOd7D3vn+DTQQ977sMhglE7zzcgLNrirayMRknVh4WizV/EqTLj7LhR78bQp+5Ar4SAbg==" saltValue="hwno+TW/UhUnxGwME8chYQ==" spinCount="100000" sheet="1" objects="1" scenarios="1" selectLockedCells="1"/>
  <mergeCells count="11">
    <mergeCell ref="B11:J11"/>
    <mergeCell ref="B12:J12"/>
    <mergeCell ref="B13:J13"/>
    <mergeCell ref="B14:J14"/>
    <mergeCell ref="B15:J15"/>
    <mergeCell ref="B45:J45"/>
    <mergeCell ref="B16:J16"/>
    <mergeCell ref="B17:J17"/>
    <mergeCell ref="B18:J18"/>
    <mergeCell ref="B19:J19"/>
    <mergeCell ref="B20:J2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C65FB-F04C-4308-96AD-F10D4EA8562F}">
  <dimension ref="B1:G29"/>
  <sheetViews>
    <sheetView showGridLines="0" zoomScale="90" zoomScaleNormal="90" workbookViewId="0">
      <selection activeCell="E20" sqref="E20"/>
    </sheetView>
  </sheetViews>
  <sheetFormatPr defaultRowHeight="13.15" x14ac:dyDescent="0.45"/>
  <cols>
    <col min="1" max="1" width="2.59765625" style="2" customWidth="1"/>
    <col min="2" max="5" width="18.59765625" style="2" customWidth="1"/>
    <col min="6" max="6" width="2.59765625" style="15" customWidth="1"/>
    <col min="7" max="16384" width="9.06640625" style="2"/>
  </cols>
  <sheetData>
    <row r="1" spans="2:7" ht="5" customHeight="1" x14ac:dyDescent="0.45"/>
    <row r="2" spans="2:7" ht="20" customHeight="1" x14ac:dyDescent="0.45">
      <c r="B2" s="3" t="s">
        <v>155</v>
      </c>
    </row>
    <row r="3" spans="2:7" ht="5" customHeight="1" x14ac:dyDescent="0.45"/>
    <row r="4" spans="2:7" ht="30" customHeight="1" x14ac:dyDescent="0.45">
      <c r="B4" s="1"/>
      <c r="C4" s="1"/>
      <c r="D4" s="57" t="s">
        <v>44</v>
      </c>
      <c r="E4" s="57" t="s">
        <v>18</v>
      </c>
      <c r="F4" s="46"/>
    </row>
    <row r="5" spans="2:7" ht="20" customHeight="1" x14ac:dyDescent="0.45">
      <c r="B5" s="11" t="s">
        <v>15</v>
      </c>
      <c r="C5" s="10" t="s">
        <v>13</v>
      </c>
      <c r="D5" s="56">
        <f>D18</f>
        <v>8069</v>
      </c>
      <c r="E5" s="56">
        <f>E18</f>
        <v>2828700</v>
      </c>
      <c r="F5" s="51"/>
    </row>
    <row r="6" spans="2:7" ht="20" customHeight="1" x14ac:dyDescent="0.45">
      <c r="B6" s="11">
        <v>2035</v>
      </c>
      <c r="C6" s="10" t="s">
        <v>13</v>
      </c>
      <c r="D6" s="56">
        <f t="shared" ref="D6:D7" si="0">D19*(1+$C$13)</f>
        <v>9823</v>
      </c>
      <c r="E6" s="56">
        <f t="shared" ref="E6:E7" si="1">E19</f>
        <v>2908100</v>
      </c>
      <c r="F6" s="51"/>
    </row>
    <row r="7" spans="2:7" ht="20" customHeight="1" x14ac:dyDescent="0.45">
      <c r="B7" s="11">
        <v>2055</v>
      </c>
      <c r="C7" s="10" t="s">
        <v>13</v>
      </c>
      <c r="D7" s="56">
        <f t="shared" si="0"/>
        <v>12421</v>
      </c>
      <c r="E7" s="56">
        <f t="shared" si="1"/>
        <v>2626600</v>
      </c>
      <c r="F7" s="51"/>
    </row>
    <row r="8" spans="2:7" ht="20" customHeight="1" x14ac:dyDescent="0.45">
      <c r="B8" s="11" t="s">
        <v>19</v>
      </c>
      <c r="C8" s="10" t="s">
        <v>13</v>
      </c>
      <c r="D8" s="56">
        <f>D6-D5</f>
        <v>1754</v>
      </c>
      <c r="E8" s="56">
        <f>E6-E5</f>
        <v>79400</v>
      </c>
      <c r="F8" s="51"/>
    </row>
    <row r="9" spans="2:7" ht="20" customHeight="1" x14ac:dyDescent="0.45">
      <c r="B9" s="11" t="s">
        <v>20</v>
      </c>
      <c r="C9" s="10" t="s">
        <v>13</v>
      </c>
      <c r="D9" s="56">
        <f>D7-D5</f>
        <v>4352</v>
      </c>
      <c r="E9" s="56">
        <f>E7-E5</f>
        <v>-202100</v>
      </c>
      <c r="F9" s="51"/>
    </row>
    <row r="10" spans="2:7" ht="20" customHeight="1" x14ac:dyDescent="0.45">
      <c r="B10" s="11" t="s">
        <v>19</v>
      </c>
      <c r="C10" s="23" t="s">
        <v>14</v>
      </c>
      <c r="D10" s="22">
        <f>((D6/D$5)^(1/($B6-$B5)))-1</f>
        <v>8.2293857544892823E-3</v>
      </c>
      <c r="E10" s="22">
        <f>((E6/E$5)^(1/($B6-$B5)))-1</f>
        <v>1.1541115087936316E-3</v>
      </c>
      <c r="F10" s="53"/>
    </row>
    <row r="11" spans="2:7" ht="20" customHeight="1" x14ac:dyDescent="0.45">
      <c r="B11" s="11" t="s">
        <v>20</v>
      </c>
      <c r="C11" s="23" t="s">
        <v>14</v>
      </c>
      <c r="D11" s="22">
        <f>((D7/D$5)^(1/($B7-$B5)))-1</f>
        <v>9.8518271626475418E-3</v>
      </c>
      <c r="E11" s="22">
        <f>((E7/E$5)^(1/($B7-$B5)))-1</f>
        <v>-1.68328640860127E-3</v>
      </c>
      <c r="F11" s="53"/>
    </row>
    <row r="12" spans="2:7" ht="5" customHeight="1" thickBot="1" x14ac:dyDescent="0.5"/>
    <row r="13" spans="2:7" ht="20" customHeight="1" thickBot="1" x14ac:dyDescent="0.5">
      <c r="B13" s="3" t="s">
        <v>153</v>
      </c>
      <c r="C13" s="163">
        <v>0</v>
      </c>
      <c r="D13" s="71" t="s">
        <v>156</v>
      </c>
      <c r="F13" s="2"/>
    </row>
    <row r="14" spans="2:7" s="54" customFormat="1" ht="20" customHeight="1" x14ac:dyDescent="0.45">
      <c r="B14" s="148"/>
      <c r="C14" s="148"/>
      <c r="D14" s="148"/>
      <c r="E14" s="148"/>
      <c r="F14" s="55"/>
    </row>
    <row r="15" spans="2:7" ht="20" customHeight="1" x14ac:dyDescent="0.45">
      <c r="B15" s="3" t="s">
        <v>41</v>
      </c>
      <c r="G15"/>
    </row>
    <row r="16" spans="2:7" ht="5" customHeight="1" x14ac:dyDescent="0.45">
      <c r="G16"/>
    </row>
    <row r="17" spans="2:7" ht="30" customHeight="1" x14ac:dyDescent="0.45">
      <c r="B17" s="1"/>
      <c r="C17" s="1"/>
      <c r="D17" s="57" t="s">
        <v>44</v>
      </c>
      <c r="E17" s="57" t="s">
        <v>18</v>
      </c>
      <c r="F17" s="46"/>
      <c r="G17"/>
    </row>
    <row r="18" spans="2:7" ht="20" customHeight="1" x14ac:dyDescent="0.45">
      <c r="B18" s="11" t="s">
        <v>15</v>
      </c>
      <c r="C18" s="10" t="s">
        <v>13</v>
      </c>
      <c r="D18" s="162">
        <v>8069</v>
      </c>
      <c r="E18" s="162">
        <v>2828700</v>
      </c>
      <c r="F18" s="51"/>
      <c r="G18"/>
    </row>
    <row r="19" spans="2:7" ht="20" customHeight="1" x14ac:dyDescent="0.45">
      <c r="B19" s="11">
        <v>2035</v>
      </c>
      <c r="C19" s="10" t="s">
        <v>13</v>
      </c>
      <c r="D19" s="162">
        <v>9823</v>
      </c>
      <c r="E19" s="162">
        <v>2908100</v>
      </c>
      <c r="F19" s="51"/>
      <c r="G19"/>
    </row>
    <row r="20" spans="2:7" ht="20" customHeight="1" x14ac:dyDescent="0.45">
      <c r="B20" s="11">
        <v>2055</v>
      </c>
      <c r="C20" s="10" t="s">
        <v>13</v>
      </c>
      <c r="D20" s="162">
        <v>12421</v>
      </c>
      <c r="E20" s="162">
        <v>2626600</v>
      </c>
      <c r="F20" s="51"/>
      <c r="G20"/>
    </row>
    <row r="21" spans="2:7" ht="20" customHeight="1" x14ac:dyDescent="0.45">
      <c r="B21" s="11" t="s">
        <v>19</v>
      </c>
      <c r="C21" s="10" t="s">
        <v>13</v>
      </c>
      <c r="D21" s="56">
        <f>D19-D18</f>
        <v>1754</v>
      </c>
      <c r="E21" s="56">
        <f>E19-E18</f>
        <v>79400</v>
      </c>
      <c r="F21" s="51"/>
      <c r="G21"/>
    </row>
    <row r="22" spans="2:7" ht="20" customHeight="1" x14ac:dyDescent="0.45">
      <c r="B22" s="11" t="s">
        <v>20</v>
      </c>
      <c r="C22" s="10" t="s">
        <v>13</v>
      </c>
      <c r="D22" s="56">
        <f>D20-D18</f>
        <v>4352</v>
      </c>
      <c r="E22" s="56">
        <f>E20-E18</f>
        <v>-202100</v>
      </c>
      <c r="F22" s="51"/>
    </row>
    <row r="23" spans="2:7" ht="20" customHeight="1" x14ac:dyDescent="0.45">
      <c r="B23" s="11" t="s">
        <v>19</v>
      </c>
      <c r="C23" s="23" t="s">
        <v>14</v>
      </c>
      <c r="D23" s="22">
        <f>((D19/D$5)^(1/($B19-$B18)))-1</f>
        <v>8.2293857544892823E-3</v>
      </c>
      <c r="E23" s="22">
        <f>((E19/E$5)^(1/($B19-$B18)))-1</f>
        <v>1.1541115087936316E-3</v>
      </c>
      <c r="F23" s="53"/>
    </row>
    <row r="24" spans="2:7" ht="20" customHeight="1" x14ac:dyDescent="0.45">
      <c r="B24" s="11" t="s">
        <v>20</v>
      </c>
      <c r="C24" s="23" t="s">
        <v>14</v>
      </c>
      <c r="D24" s="22">
        <f>((D20/D$5)^(1/($B20-$B18)))-1</f>
        <v>9.8518271626475418E-3</v>
      </c>
      <c r="E24" s="22">
        <f>((E20/E$5)^(1/($B20-$B18)))-1</f>
        <v>-1.68328640860127E-3</v>
      </c>
      <c r="F24" s="53"/>
    </row>
    <row r="25" spans="2:7" ht="5" customHeight="1" x14ac:dyDescent="0.45"/>
    <row r="26" spans="2:7" s="54" customFormat="1" ht="20" customHeight="1" x14ac:dyDescent="0.45">
      <c r="B26" s="148" t="s">
        <v>25</v>
      </c>
      <c r="C26" s="148"/>
      <c r="D26" s="148"/>
      <c r="E26" s="148"/>
      <c r="F26" s="55"/>
    </row>
    <row r="27" spans="2:7" s="54" customFormat="1" ht="20" customHeight="1" x14ac:dyDescent="0.45">
      <c r="B27" s="148" t="s">
        <v>45</v>
      </c>
      <c r="C27" s="148"/>
      <c r="D27" s="148"/>
      <c r="E27" s="148"/>
      <c r="F27" s="55"/>
    </row>
    <row r="28" spans="2:7" s="54" customFormat="1" ht="20" customHeight="1" x14ac:dyDescent="0.45">
      <c r="B28" s="148" t="s">
        <v>42</v>
      </c>
      <c r="C28" s="148"/>
      <c r="D28" s="148"/>
      <c r="E28" s="148"/>
      <c r="F28" s="55"/>
    </row>
    <row r="29" spans="2:7" s="54" customFormat="1" ht="20" customHeight="1" x14ac:dyDescent="0.45">
      <c r="B29" s="148" t="s">
        <v>43</v>
      </c>
      <c r="C29" s="148"/>
      <c r="D29" s="148"/>
      <c r="E29" s="148"/>
      <c r="F29" s="55"/>
    </row>
  </sheetData>
  <sheetProtection algorithmName="SHA-512" hashValue="8tW6YlsmnXkZEz3tdTXwX/iNLpTD5P2istZabCakQuoz8H4nndyJ5TeaCXjOdC4qX3ro9+G5nczLhJVaCFD+mw==" saltValue="NNQAEC+uIbaKArnNMC4OjA==" spinCount="100000" sheet="1" objects="1" scenarios="1" selectLockedCells="1"/>
  <mergeCells count="5">
    <mergeCell ref="B28:E28"/>
    <mergeCell ref="B29:E29"/>
    <mergeCell ref="B14:E14"/>
    <mergeCell ref="B26:E26"/>
    <mergeCell ref="B27:E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C365E-061E-449F-A3B3-0DD03F2CDCFC}">
  <dimension ref="B1:F40"/>
  <sheetViews>
    <sheetView showGridLines="0" zoomScale="90" zoomScaleNormal="90" workbookViewId="0">
      <selection activeCell="F32" sqref="F32"/>
    </sheetView>
  </sheetViews>
  <sheetFormatPr defaultRowHeight="13.15" x14ac:dyDescent="0.45"/>
  <cols>
    <col min="1" max="1" width="1.59765625" style="2" customWidth="1"/>
    <col min="2" max="2" width="30.59765625" style="2" customWidth="1"/>
    <col min="3" max="6" width="15.59765625" style="2" customWidth="1"/>
    <col min="7" max="16384" width="9.06640625" style="2"/>
  </cols>
  <sheetData>
    <row r="1" spans="2:6" ht="5" customHeight="1" x14ac:dyDescent="0.45"/>
    <row r="2" spans="2:6" ht="20" customHeight="1" x14ac:dyDescent="0.45">
      <c r="B2" s="3" t="s">
        <v>177</v>
      </c>
    </row>
    <row r="3" spans="2:6" ht="5" customHeight="1" thickBot="1" x14ac:dyDescent="0.5">
      <c r="B3" s="41"/>
      <c r="C3" s="41"/>
      <c r="D3" s="41"/>
      <c r="E3" s="41"/>
      <c r="F3" s="41"/>
    </row>
    <row r="4" spans="2:6" ht="5" customHeight="1" x14ac:dyDescent="0.45"/>
    <row r="5" spans="2:6" ht="20" customHeight="1" x14ac:dyDescent="0.45">
      <c r="B5" s="13"/>
      <c r="C5" s="149" t="s">
        <v>16</v>
      </c>
      <c r="D5" s="149"/>
      <c r="E5" s="149" t="s">
        <v>17</v>
      </c>
      <c r="F5" s="149"/>
    </row>
    <row r="6" spans="2:6" ht="5" customHeight="1" x14ac:dyDescent="0.45">
      <c r="B6" s="13"/>
      <c r="C6" s="150"/>
      <c r="D6" s="151"/>
      <c r="E6" s="150"/>
      <c r="F6" s="151"/>
    </row>
    <row r="7" spans="2:6" ht="5" customHeight="1" x14ac:dyDescent="0.45">
      <c r="B7" s="13"/>
      <c r="C7" s="45"/>
      <c r="D7" s="45"/>
      <c r="E7" s="45"/>
      <c r="F7" s="45"/>
    </row>
    <row r="8" spans="2:6" s="12" customFormat="1" ht="20" customHeight="1" x14ac:dyDescent="0.45">
      <c r="B8" s="40"/>
      <c r="C8" s="40">
        <v>2035</v>
      </c>
      <c r="D8" s="40">
        <v>2055</v>
      </c>
      <c r="E8" s="40">
        <v>2035</v>
      </c>
      <c r="F8" s="40">
        <v>2055</v>
      </c>
    </row>
    <row r="9" spans="2:6" ht="5" customHeight="1" x14ac:dyDescent="0.45">
      <c r="B9" s="42"/>
      <c r="C9" s="43"/>
      <c r="D9" s="43"/>
      <c r="E9" s="43"/>
      <c r="F9" s="43"/>
    </row>
    <row r="10" spans="2:6" ht="5" customHeight="1" thickBot="1" x14ac:dyDescent="0.5">
      <c r="B10" s="13"/>
      <c r="C10" s="40"/>
      <c r="D10" s="40"/>
      <c r="E10" s="40"/>
      <c r="F10" s="40"/>
    </row>
    <row r="11" spans="2:6" ht="20" customHeight="1" thickBot="1" x14ac:dyDescent="0.5">
      <c r="B11" s="48" t="s">
        <v>5</v>
      </c>
      <c r="C11" s="106">
        <f t="shared" ref="C11:F15" si="0">C29*(1+$C$18)</f>
        <v>-8.6599999999999996E-2</v>
      </c>
      <c r="D11" s="106">
        <f t="shared" si="0"/>
        <v>-0.11210000000000001</v>
      </c>
      <c r="E11" s="106">
        <f t="shared" si="0"/>
        <v>-0.1201</v>
      </c>
      <c r="F11" s="106">
        <f t="shared" si="0"/>
        <v>-0.1227</v>
      </c>
    </row>
    <row r="12" spans="2:6" ht="20" customHeight="1" thickBot="1" x14ac:dyDescent="0.5">
      <c r="B12" s="48" t="s">
        <v>6</v>
      </c>
      <c r="C12" s="106">
        <f t="shared" si="0"/>
        <v>-9.0999999999999998E-2</v>
      </c>
      <c r="D12" s="106">
        <f t="shared" si="0"/>
        <v>-0.1094</v>
      </c>
      <c r="E12" s="106">
        <f t="shared" si="0"/>
        <v>-0.125</v>
      </c>
      <c r="F12" s="106">
        <f t="shared" si="0"/>
        <v>-0.14499999999999999</v>
      </c>
    </row>
    <row r="13" spans="2:6" ht="20" customHeight="1" thickBot="1" x14ac:dyDescent="0.5">
      <c r="B13" s="48" t="s">
        <v>7</v>
      </c>
      <c r="C13" s="106">
        <f t="shared" si="0"/>
        <v>-9.3600000000000003E-2</v>
      </c>
      <c r="D13" s="106">
        <f t="shared" si="0"/>
        <v>-0.11269999999999999</v>
      </c>
      <c r="E13" s="106">
        <f t="shared" si="0"/>
        <v>-0.127</v>
      </c>
      <c r="F13" s="106">
        <f t="shared" si="0"/>
        <v>-0.15010000000000001</v>
      </c>
    </row>
    <row r="14" spans="2:6" ht="20" customHeight="1" thickBot="1" x14ac:dyDescent="0.5">
      <c r="B14" s="48" t="s">
        <v>24</v>
      </c>
      <c r="C14" s="106">
        <f t="shared" si="0"/>
        <v>-9.2105391334976056E-2</v>
      </c>
      <c r="D14" s="106">
        <f t="shared" si="0"/>
        <v>-0.11257189068585509</v>
      </c>
      <c r="E14" s="106">
        <f t="shared" si="0"/>
        <v>-0.12552674288733354</v>
      </c>
      <c r="F14" s="106">
        <f t="shared" si="0"/>
        <v>-0.14424967465404914</v>
      </c>
    </row>
    <row r="15" spans="2:6" ht="20" customHeight="1" thickBot="1" x14ac:dyDescent="0.5">
      <c r="B15" s="48" t="s">
        <v>9</v>
      </c>
      <c r="C15" s="106">
        <f t="shared" si="0"/>
        <v>-0.10290000000000001</v>
      </c>
      <c r="D15" s="106">
        <f t="shared" si="0"/>
        <v>-0.12870000000000001</v>
      </c>
      <c r="E15" s="106">
        <f t="shared" si="0"/>
        <v>-0.13159999999999999</v>
      </c>
      <c r="F15" s="106">
        <f t="shared" si="0"/>
        <v>-0.129</v>
      </c>
    </row>
    <row r="16" spans="2:6" s="7" customFormat="1" ht="5" customHeight="1" thickBot="1" x14ac:dyDescent="0.5">
      <c r="B16" s="49"/>
      <c r="C16" s="49"/>
      <c r="D16" s="49"/>
      <c r="E16" s="49"/>
      <c r="F16" s="49"/>
    </row>
    <row r="17" spans="2:6" s="7" customFormat="1" ht="5" customHeight="1" thickBot="1" x14ac:dyDescent="0.5"/>
    <row r="18" spans="2:6" ht="20" customHeight="1" thickBot="1" x14ac:dyDescent="0.5">
      <c r="B18" s="3" t="s">
        <v>153</v>
      </c>
      <c r="C18" s="163">
        <v>0</v>
      </c>
      <c r="D18" s="71" t="s">
        <v>154</v>
      </c>
    </row>
    <row r="19" spans="2:6" ht="20" customHeight="1" x14ac:dyDescent="0.45"/>
    <row r="20" spans="2:6" ht="20" customHeight="1" x14ac:dyDescent="0.45">
      <c r="B20" s="3" t="s">
        <v>23</v>
      </c>
    </row>
    <row r="21" spans="2:6" ht="5" customHeight="1" thickBot="1" x14ac:dyDescent="0.5">
      <c r="B21" s="41"/>
      <c r="C21" s="41"/>
      <c r="D21" s="41"/>
      <c r="E21" s="41"/>
      <c r="F21" s="41"/>
    </row>
    <row r="22" spans="2:6" ht="5" customHeight="1" x14ac:dyDescent="0.45"/>
    <row r="23" spans="2:6" ht="20" customHeight="1" x14ac:dyDescent="0.45">
      <c r="B23" s="13"/>
      <c r="C23" s="149" t="s">
        <v>16</v>
      </c>
      <c r="D23" s="149"/>
      <c r="E23" s="149" t="s">
        <v>17</v>
      </c>
      <c r="F23" s="149"/>
    </row>
    <row r="24" spans="2:6" ht="5" customHeight="1" x14ac:dyDescent="0.45">
      <c r="B24" s="13"/>
      <c r="C24" s="150"/>
      <c r="D24" s="151"/>
      <c r="E24" s="150"/>
      <c r="F24" s="151"/>
    </row>
    <row r="25" spans="2:6" ht="5" customHeight="1" x14ac:dyDescent="0.45">
      <c r="B25" s="13"/>
      <c r="C25" s="45"/>
      <c r="D25" s="45"/>
      <c r="E25" s="45"/>
      <c r="F25" s="45"/>
    </row>
    <row r="26" spans="2:6" s="12" customFormat="1" ht="20" customHeight="1" x14ac:dyDescent="0.45">
      <c r="B26" s="40"/>
      <c r="C26" s="40">
        <v>2035</v>
      </c>
      <c r="D26" s="40">
        <v>2055</v>
      </c>
      <c r="E26" s="40">
        <v>2035</v>
      </c>
      <c r="F26" s="40">
        <v>2055</v>
      </c>
    </row>
    <row r="27" spans="2:6" ht="5" customHeight="1" x14ac:dyDescent="0.45">
      <c r="B27" s="42"/>
      <c r="C27" s="43"/>
      <c r="D27" s="43"/>
      <c r="E27" s="43"/>
      <c r="F27" s="43"/>
    </row>
    <row r="28" spans="2:6" ht="5" customHeight="1" thickBot="1" x14ac:dyDescent="0.5">
      <c r="B28" s="13"/>
      <c r="C28" s="40"/>
      <c r="D28" s="40"/>
      <c r="E28" s="40"/>
      <c r="F28" s="40"/>
    </row>
    <row r="29" spans="2:6" ht="20" customHeight="1" thickBot="1" x14ac:dyDescent="0.5">
      <c r="B29" s="48" t="s">
        <v>5</v>
      </c>
      <c r="C29" s="163">
        <v>-8.6599999999999996E-2</v>
      </c>
      <c r="D29" s="163">
        <v>-0.11210000000000001</v>
      </c>
      <c r="E29" s="163">
        <v>-0.1201</v>
      </c>
      <c r="F29" s="163">
        <v>-0.1227</v>
      </c>
    </row>
    <row r="30" spans="2:6" ht="20" customHeight="1" thickBot="1" x14ac:dyDescent="0.5">
      <c r="B30" s="48" t="s">
        <v>6</v>
      </c>
      <c r="C30" s="163">
        <v>-9.0999999999999998E-2</v>
      </c>
      <c r="D30" s="163">
        <v>-0.1094</v>
      </c>
      <c r="E30" s="163">
        <v>-0.125</v>
      </c>
      <c r="F30" s="163">
        <v>-0.14499999999999999</v>
      </c>
    </row>
    <row r="31" spans="2:6" ht="20" customHeight="1" thickBot="1" x14ac:dyDescent="0.5">
      <c r="B31" s="48" t="s">
        <v>7</v>
      </c>
      <c r="C31" s="163">
        <v>-9.3600000000000003E-2</v>
      </c>
      <c r="D31" s="163">
        <v>-0.11269999999999999</v>
      </c>
      <c r="E31" s="163">
        <v>-0.127</v>
      </c>
      <c r="F31" s="163">
        <v>-0.15010000000000001</v>
      </c>
    </row>
    <row r="32" spans="2:6" ht="20" customHeight="1" thickBot="1" x14ac:dyDescent="0.5">
      <c r="B32" s="48" t="s">
        <v>24</v>
      </c>
      <c r="C32" s="163">
        <f>C29*('Fishery Market Data Inputs'!$D$8/('Fishery Market Data Inputs'!$D$8+'Fishery Market Data Inputs'!$F$8))+C31*('Fishery Market Data Inputs'!$F$8/('Fishery Market Data Inputs'!$D$8+'Fishery Market Data Inputs'!$F$8))</f>
        <v>-9.2105391334976056E-2</v>
      </c>
      <c r="D32" s="163">
        <f>D29*('Fishery Market Data Inputs'!$D$8/('Fishery Market Data Inputs'!$D$8+'Fishery Market Data Inputs'!$F$8))+D31*('Fishery Market Data Inputs'!$F$8/('Fishery Market Data Inputs'!$D$8+'Fishery Market Data Inputs'!$F$8))</f>
        <v>-0.11257189068585509</v>
      </c>
      <c r="E32" s="163">
        <f>E29*('Fishery Market Data Inputs'!$D$8/('Fishery Market Data Inputs'!$D$8+'Fishery Market Data Inputs'!$F$8))+E31*('Fishery Market Data Inputs'!$F$8/('Fishery Market Data Inputs'!$D$8+'Fishery Market Data Inputs'!$F$8))</f>
        <v>-0.12552674288733354</v>
      </c>
      <c r="F32" s="163">
        <f>F29*('Fishery Market Data Inputs'!$D$8/('Fishery Market Data Inputs'!$D$8+'Fishery Market Data Inputs'!$F$8))+F31*('Fishery Market Data Inputs'!$F$8/('Fishery Market Data Inputs'!$D$8+'Fishery Market Data Inputs'!$F$8))</f>
        <v>-0.14424967465404914</v>
      </c>
    </row>
    <row r="33" spans="2:6" ht="20" customHeight="1" thickBot="1" x14ac:dyDescent="0.5">
      <c r="B33" s="48" t="s">
        <v>9</v>
      </c>
      <c r="C33" s="163">
        <v>-0.10290000000000001</v>
      </c>
      <c r="D33" s="163">
        <v>-0.12870000000000001</v>
      </c>
      <c r="E33" s="163">
        <v>-0.13159999999999999</v>
      </c>
      <c r="F33" s="163">
        <v>-0.129</v>
      </c>
    </row>
    <row r="34" spans="2:6" s="7" customFormat="1" ht="5" customHeight="1" thickBot="1" x14ac:dyDescent="0.5">
      <c r="B34" s="49"/>
      <c r="C34" s="49"/>
      <c r="D34" s="49"/>
      <c r="E34" s="49"/>
      <c r="F34" s="49"/>
    </row>
    <row r="35" spans="2:6" s="7" customFormat="1" ht="5" customHeight="1" x14ac:dyDescent="0.45"/>
    <row r="36" spans="2:6" s="7" customFormat="1" ht="20" customHeight="1" x14ac:dyDescent="0.45">
      <c r="B36" s="147" t="s">
        <v>25</v>
      </c>
      <c r="C36" s="147"/>
      <c r="D36" s="147"/>
      <c r="E36" s="147"/>
      <c r="F36" s="147"/>
    </row>
    <row r="37" spans="2:6" s="7" customFormat="1" ht="5" customHeight="1" x14ac:dyDescent="0.45">
      <c r="B37" s="47"/>
      <c r="C37" s="47"/>
      <c r="D37" s="47"/>
      <c r="E37" s="47"/>
      <c r="F37" s="47"/>
    </row>
    <row r="38" spans="2:6" ht="20" customHeight="1" x14ac:dyDescent="0.45">
      <c r="B38" s="3" t="s">
        <v>26</v>
      </c>
    </row>
    <row r="39" spans="2:6" s="7" customFormat="1" ht="20" customHeight="1" x14ac:dyDescent="0.45">
      <c r="B39" s="147" t="s">
        <v>178</v>
      </c>
      <c r="C39" s="147"/>
      <c r="D39" s="147"/>
      <c r="E39" s="147"/>
      <c r="F39" s="147"/>
    </row>
    <row r="40" spans="2:6" s="7" customFormat="1" ht="20" customHeight="1" x14ac:dyDescent="0.45">
      <c r="B40" s="147" t="s">
        <v>28</v>
      </c>
      <c r="C40" s="147"/>
      <c r="D40" s="147"/>
      <c r="E40" s="147"/>
      <c r="F40" s="147"/>
    </row>
  </sheetData>
  <sheetProtection algorithmName="SHA-512" hashValue="07et/SIo6aUMiLI5mzigMtwWxEDSMhG7Tof4sPlWw/ve+BUukXsN8D+3pV3KLLCPXNYdV3eVgdAzGgtVpC54RA==" saltValue="nD059XVBM3k9nsG3VpSGxw==" spinCount="100000" sheet="1" objects="1" scenarios="1" selectLockedCells="1"/>
  <mergeCells count="11">
    <mergeCell ref="C5:D5"/>
    <mergeCell ref="E5:F5"/>
    <mergeCell ref="C6:D6"/>
    <mergeCell ref="E6:F6"/>
    <mergeCell ref="B36:F36"/>
    <mergeCell ref="B39:F39"/>
    <mergeCell ref="B40:F40"/>
    <mergeCell ref="C23:D23"/>
    <mergeCell ref="E23:F23"/>
    <mergeCell ref="C24:D24"/>
    <mergeCell ref="E24:F2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07A85-C201-4501-8749-BB5F463F6898}">
  <dimension ref="B1:EA34"/>
  <sheetViews>
    <sheetView showGridLines="0" zoomScale="90" zoomScaleNormal="90" workbookViewId="0">
      <selection activeCell="AF6" sqref="AF6"/>
    </sheetView>
  </sheetViews>
  <sheetFormatPr defaultRowHeight="14.25" x14ac:dyDescent="0.45"/>
  <cols>
    <col min="1" max="1" width="1.59765625" style="26" customWidth="1"/>
    <col min="2" max="2" width="5.59765625" style="26" customWidth="1"/>
    <col min="3" max="3" width="1.59765625" style="26" customWidth="1"/>
    <col min="4" max="4" width="30.59765625" style="26" customWidth="1"/>
    <col min="5" max="5" width="1.59765625" style="26" customWidth="1"/>
    <col min="6" max="12" width="15.59765625" style="26" customWidth="1"/>
    <col min="13" max="13" width="1.59765625" customWidth="1"/>
    <col min="14" max="14" width="15.59765625" customWidth="1"/>
    <col min="15" max="16" width="15.59765625" style="26" customWidth="1"/>
    <col min="17" max="17" width="1.59765625" style="26" customWidth="1"/>
    <col min="18" max="23" width="15.59765625" style="26" customWidth="1"/>
    <col min="24" max="25" width="1.59765625" style="26" customWidth="1"/>
    <col min="26" max="32" width="15.59765625" style="26" customWidth="1"/>
    <col min="33" max="33" width="1.59765625" customWidth="1"/>
    <col min="34" max="40" width="15.59765625" style="26" customWidth="1"/>
    <col min="41" max="41" width="1.59765625" customWidth="1"/>
    <col min="132" max="16384" width="9.06640625" style="26"/>
  </cols>
  <sheetData>
    <row r="1" spans="2:41" ht="15" customHeight="1" x14ac:dyDescent="0.45"/>
    <row r="2" spans="2:41" s="15" customFormat="1" ht="30" customHeight="1" x14ac:dyDescent="0.45">
      <c r="D2" s="18" t="s">
        <v>58</v>
      </c>
      <c r="R2" s="152" t="s">
        <v>72</v>
      </c>
      <c r="S2" s="152"/>
      <c r="T2" s="152"/>
      <c r="U2" s="152"/>
      <c r="V2" s="152"/>
      <c r="W2" s="152"/>
      <c r="Z2" s="152" t="s">
        <v>82</v>
      </c>
      <c r="AA2" s="152"/>
      <c r="AB2" s="152"/>
      <c r="AC2" s="152"/>
      <c r="AD2" s="152"/>
      <c r="AE2" s="152"/>
      <c r="AF2" s="152"/>
      <c r="AG2"/>
      <c r="AH2" s="152" t="s">
        <v>115</v>
      </c>
      <c r="AI2" s="152"/>
      <c r="AJ2" s="152"/>
      <c r="AK2" s="152"/>
      <c r="AL2" s="152"/>
      <c r="AM2" s="152"/>
      <c r="AN2" s="152"/>
      <c r="AO2"/>
    </row>
    <row r="3" spans="2:41" s="15" customFormat="1" ht="5" customHeight="1" x14ac:dyDescent="0.45">
      <c r="AG3"/>
      <c r="AO3"/>
    </row>
    <row r="4" spans="2:41" s="60" customFormat="1" ht="60" customHeight="1" x14ac:dyDescent="0.45">
      <c r="B4" s="153" t="s">
        <v>137</v>
      </c>
      <c r="D4" s="59" t="s">
        <v>118</v>
      </c>
      <c r="F4" s="59" t="s">
        <v>48</v>
      </c>
      <c r="G4" s="59" t="s">
        <v>49</v>
      </c>
      <c r="H4" s="59" t="s">
        <v>50</v>
      </c>
      <c r="I4" s="59" t="s">
        <v>1</v>
      </c>
      <c r="J4" s="59" t="s">
        <v>51</v>
      </c>
      <c r="K4" s="59" t="s">
        <v>52</v>
      </c>
      <c r="L4" s="59" t="s">
        <v>53</v>
      </c>
      <c r="N4" s="59" t="s">
        <v>54</v>
      </c>
      <c r="O4" s="59" t="s">
        <v>56</v>
      </c>
      <c r="P4" s="59" t="s">
        <v>57</v>
      </c>
      <c r="R4" s="59" t="s">
        <v>62</v>
      </c>
      <c r="S4" s="59" t="s">
        <v>60</v>
      </c>
      <c r="T4" s="59" t="s">
        <v>64</v>
      </c>
      <c r="U4" s="59" t="s">
        <v>69</v>
      </c>
      <c r="V4" s="59" t="s">
        <v>65</v>
      </c>
      <c r="W4" s="59" t="s">
        <v>67</v>
      </c>
      <c r="Z4" s="59" t="s">
        <v>84</v>
      </c>
      <c r="AA4" s="59" t="s">
        <v>73</v>
      </c>
      <c r="AB4" s="59" t="s">
        <v>74</v>
      </c>
      <c r="AC4" s="59" t="s">
        <v>76</v>
      </c>
      <c r="AD4" s="59" t="s">
        <v>78</v>
      </c>
      <c r="AE4" s="59" t="s">
        <v>79</v>
      </c>
      <c r="AF4" s="59" t="s">
        <v>81</v>
      </c>
      <c r="AG4" s="61"/>
      <c r="AH4" s="59" t="s">
        <v>117</v>
      </c>
      <c r="AI4" s="59" t="s">
        <v>73</v>
      </c>
      <c r="AJ4" s="59" t="s">
        <v>112</v>
      </c>
      <c r="AK4" s="59" t="s">
        <v>113</v>
      </c>
      <c r="AL4" s="59" t="s">
        <v>107</v>
      </c>
      <c r="AM4" s="59" t="s">
        <v>108</v>
      </c>
      <c r="AN4" s="59" t="s">
        <v>109</v>
      </c>
      <c r="AO4" s="61"/>
    </row>
    <row r="5" spans="2:41" s="67" customFormat="1" ht="20" customHeight="1" x14ac:dyDescent="0.45">
      <c r="B5" s="153"/>
      <c r="D5" s="66"/>
      <c r="F5" s="66" t="s">
        <v>87</v>
      </c>
      <c r="G5" s="66" t="s">
        <v>87</v>
      </c>
      <c r="H5" s="66" t="s">
        <v>87</v>
      </c>
      <c r="I5" s="66"/>
      <c r="J5" s="66" t="s">
        <v>88</v>
      </c>
      <c r="K5" s="66" t="s">
        <v>88</v>
      </c>
      <c r="L5" s="66" t="s">
        <v>88</v>
      </c>
      <c r="N5" s="66" t="s">
        <v>11</v>
      </c>
      <c r="O5" s="66" t="s">
        <v>11</v>
      </c>
      <c r="P5" s="66" t="s">
        <v>11</v>
      </c>
      <c r="R5" s="66" t="s">
        <v>89</v>
      </c>
      <c r="S5" s="66"/>
      <c r="T5" s="66"/>
      <c r="U5" s="66" t="s">
        <v>11</v>
      </c>
      <c r="V5" s="66" t="s">
        <v>165</v>
      </c>
      <c r="W5" s="66" t="s">
        <v>165</v>
      </c>
      <c r="Z5" s="66" t="s">
        <v>89</v>
      </c>
      <c r="AA5" s="66"/>
      <c r="AB5" s="66" t="s">
        <v>11</v>
      </c>
      <c r="AC5" s="66" t="s">
        <v>11</v>
      </c>
      <c r="AD5" s="66" t="s">
        <v>165</v>
      </c>
      <c r="AE5" s="66" t="s">
        <v>165</v>
      </c>
      <c r="AF5" s="66" t="s">
        <v>119</v>
      </c>
      <c r="AG5" s="68"/>
      <c r="AH5" s="66" t="s">
        <v>89</v>
      </c>
      <c r="AI5" s="66"/>
      <c r="AJ5" s="66" t="s">
        <v>11</v>
      </c>
      <c r="AK5" s="66" t="s">
        <v>11</v>
      </c>
      <c r="AL5" s="66" t="s">
        <v>165</v>
      </c>
      <c r="AM5" s="66" t="s">
        <v>165</v>
      </c>
      <c r="AN5" s="66" t="s">
        <v>119</v>
      </c>
      <c r="AO5" s="68"/>
    </row>
    <row r="6" spans="2:41" s="15" customFormat="1" ht="20" customHeight="1" x14ac:dyDescent="0.45">
      <c r="B6" s="153"/>
      <c r="D6" s="16" t="s">
        <v>5</v>
      </c>
      <c r="F6" s="27">
        <f>'Economic &amp; Pop. Data Inputs'!D$5</f>
        <v>8069</v>
      </c>
      <c r="G6" s="27">
        <f>'Economic &amp; Pop. Data Inputs'!D$6</f>
        <v>9823</v>
      </c>
      <c r="H6" s="27">
        <f>'Economic &amp; Pop. Data Inputs'!D$7</f>
        <v>12421</v>
      </c>
      <c r="I6" s="29">
        <f>'Fishery Market Data Inputs'!E$26</f>
        <v>0.79800000000000004</v>
      </c>
      <c r="J6" s="21">
        <f>'Economic &amp; Pop. Data Inputs'!E$5</f>
        <v>2828700</v>
      </c>
      <c r="K6" s="21">
        <f>'Economic &amp; Pop. Data Inputs'!E$6</f>
        <v>2908100</v>
      </c>
      <c r="L6" s="21">
        <f>'Economic &amp; Pop. Data Inputs'!E$7</f>
        <v>2626600</v>
      </c>
      <c r="N6" s="21">
        <f>'Fishery Market Data Inputs'!D$7</f>
        <v>418.14550056834003</v>
      </c>
      <c r="O6" s="21">
        <f>N6*(G6/F6)^I6</f>
        <v>489.2108966878086</v>
      </c>
      <c r="P6" s="21">
        <f>N6*(H6/G6)^I6</f>
        <v>504.25885958585837</v>
      </c>
      <c r="R6" s="21">
        <f>'Fishery Market Data Inputs'!D$5</f>
        <v>5340.8921131297102</v>
      </c>
      <c r="S6" s="29">
        <f>'Fishery Market Data Inputs'!D26</f>
        <v>-0.58899999999999997</v>
      </c>
      <c r="T6" s="31">
        <f>(1/S6)*(R6/N6)</f>
        <v>-21.685582011254333</v>
      </c>
      <c r="U6" s="21">
        <f>R6-T6*N6</f>
        <v>14408.620658341442</v>
      </c>
      <c r="V6" s="28">
        <f>(0.5*(U6-R6)*N6)*10^-6</f>
        <v>1.8958149457776925</v>
      </c>
      <c r="W6" s="28">
        <f>(R6*N6)*10^-6</f>
        <v>2.2332700061261219</v>
      </c>
      <c r="Z6" s="21">
        <f>AB6+$AA6*AC6</f>
        <v>6275.7063728555459</v>
      </c>
      <c r="AA6" s="31">
        <f>T6</f>
        <v>-21.685582011254333</v>
      </c>
      <c r="AB6" s="21">
        <f>$R6-$T6*O6</f>
        <v>15949.715134052454</v>
      </c>
      <c r="AC6" s="21">
        <f>($U17-AB6)/($T6-$T17)</f>
        <v>446.10325681719377</v>
      </c>
      <c r="AD6" s="28">
        <f>(0.5*($AB6-Z6)*AC6)*10^-6</f>
        <v>2.1578034074240033</v>
      </c>
      <c r="AE6" s="28">
        <f>(Z6*AC6)*10^-6</f>
        <v>2.7996130517592768</v>
      </c>
      <c r="AF6" s="28">
        <f>AC6*10^6/365/$K6</f>
        <v>0.42027464791745467</v>
      </c>
      <c r="AG6"/>
      <c r="AH6" s="21">
        <f>AJ6+$T6*AK6</f>
        <v>6473.6515200728209</v>
      </c>
      <c r="AI6" s="31">
        <f>T6</f>
        <v>-21.685582011254333</v>
      </c>
      <c r="AJ6" s="21">
        <f>$R6-$T6*P6</f>
        <v>16276.038967580425</v>
      </c>
      <c r="AK6" s="21">
        <f>($U17-AJ6)/($T6-$T17)</f>
        <v>452.02325869881582</v>
      </c>
      <c r="AL6" s="28">
        <f>(0.5*($AJ6-AH6)*AK6)*10^-6</f>
        <v>2.2154535585253772</v>
      </c>
      <c r="AM6" s="28">
        <f>(AH6*AK6)*10^-6</f>
        <v>2.926241055783859</v>
      </c>
      <c r="AN6" s="28">
        <f>AK6*10^6/365/$L6</f>
        <v>0.47149161914492904</v>
      </c>
      <c r="AO6"/>
    </row>
    <row r="7" spans="2:41" s="15" customFormat="1" ht="20" customHeight="1" x14ac:dyDescent="0.45">
      <c r="B7" s="153"/>
      <c r="D7" s="16" t="s">
        <v>6</v>
      </c>
      <c r="F7" s="27">
        <f>'Economic &amp; Pop. Data Inputs'!D$5</f>
        <v>8069</v>
      </c>
      <c r="G7" s="27">
        <f>'Economic &amp; Pop. Data Inputs'!D$6</f>
        <v>9823</v>
      </c>
      <c r="H7" s="27">
        <f>'Economic &amp; Pop. Data Inputs'!D$7</f>
        <v>12421</v>
      </c>
      <c r="I7" s="29">
        <f>'Fishery Market Data Inputs'!E$27</f>
        <v>1.355</v>
      </c>
      <c r="J7" s="21">
        <f>'Economic &amp; Pop. Data Inputs'!E$5</f>
        <v>2828700</v>
      </c>
      <c r="K7" s="21">
        <f>'Economic &amp; Pop. Data Inputs'!E$6</f>
        <v>2908100</v>
      </c>
      <c r="L7" s="21">
        <f>'Economic &amp; Pop. Data Inputs'!E$7</f>
        <v>2626600</v>
      </c>
      <c r="N7" s="21">
        <f>'Fishery Market Data Inputs'!E$7</f>
        <v>150.03953547724001</v>
      </c>
      <c r="O7" s="21">
        <f>N7*(G7/F7)^I7</f>
        <v>195.86453761329096</v>
      </c>
      <c r="P7" s="21">
        <f>N7*(H7/G7)^I7</f>
        <v>206.20397689942556</v>
      </c>
      <c r="R7" s="21">
        <f>'Fishery Market Data Inputs'!E$5</f>
        <v>2383.6613161539653</v>
      </c>
      <c r="S7" s="29">
        <f>'Fishery Market Data Inputs'!D27</f>
        <v>-0.497</v>
      </c>
      <c r="T7" s="31">
        <f>(1/S7)*(R7/N7)</f>
        <v>-31.96556969080666</v>
      </c>
      <c r="U7" s="21">
        <f>R7-T7*N7</f>
        <v>7179.7605438279388</v>
      </c>
      <c r="V7" s="28">
        <f>(0.5*(U7-R7)*N7)*10^-6</f>
        <v>0.35980225011147626</v>
      </c>
      <c r="W7" s="28">
        <f>(R7*N7)*10^-6</f>
        <v>0.3576434366108075</v>
      </c>
      <c r="Z7" s="21">
        <f t="shared" ref="Z7:Z10" si="0">AB7+$AA7*AC7</f>
        <v>3027.3542275443879</v>
      </c>
      <c r="AA7" s="31">
        <f t="shared" ref="AA7:AA10" si="1">T7</f>
        <v>-31.96556969080666</v>
      </c>
      <c r="AB7" s="21">
        <f>$R7-$T7*O7</f>
        <v>8644.5828431892405</v>
      </c>
      <c r="AC7" s="21">
        <f>($U18-AB7)/($T7-$T18)</f>
        <v>175.72746770912002</v>
      </c>
      <c r="AD7" s="28">
        <f>(0.5*($AB7-Z7)*AC7)*10^-6</f>
        <v>0.49355068008523789</v>
      </c>
      <c r="AE7" s="28">
        <f>(Z7*AC7)*10^-6</f>
        <v>0.53198929226487446</v>
      </c>
      <c r="AF7" s="28">
        <f>AC7*10^6/365/$K7</f>
        <v>0.16555315051452418</v>
      </c>
      <c r="AG7"/>
      <c r="AH7" s="21">
        <f>AJ7+$T7*AK7</f>
        <v>3172.5898732837377</v>
      </c>
      <c r="AI7" s="31">
        <f t="shared" ref="AI7:AI10" si="2">T7</f>
        <v>-31.96556969080666</v>
      </c>
      <c r="AJ7" s="21">
        <f>$R7-$T7*P7</f>
        <v>8975.0889102540386</v>
      </c>
      <c r="AK7" s="21">
        <f>($U18-AJ7)/($T7-$T18)</f>
        <v>181.52340449728032</v>
      </c>
      <c r="AL7" s="28">
        <f>(0.5*($AJ7-AH7)*AK7)*10^-6</f>
        <v>0.52664468989151969</v>
      </c>
      <c r="AM7" s="28">
        <f>(AH7*AK7)*10^-6</f>
        <v>0.57589931487205925</v>
      </c>
      <c r="AN7" s="28">
        <f>AK7*10^6/365/$L7</f>
        <v>0.18934150456215634</v>
      </c>
      <c r="AO7"/>
    </row>
    <row r="8" spans="2:41" s="15" customFormat="1" ht="20" customHeight="1" x14ac:dyDescent="0.45">
      <c r="B8" s="153"/>
      <c r="D8" s="16" t="s">
        <v>7</v>
      </c>
      <c r="F8" s="27">
        <f>'Economic &amp; Pop. Data Inputs'!D$5</f>
        <v>8069</v>
      </c>
      <c r="G8" s="27">
        <f>'Economic &amp; Pop. Data Inputs'!D$6</f>
        <v>9823</v>
      </c>
      <c r="H8" s="27">
        <f>'Economic &amp; Pop. Data Inputs'!D$7</f>
        <v>12421</v>
      </c>
      <c r="I8" s="29">
        <f>'Fishery Market Data Inputs'!E$28</f>
        <v>0.64</v>
      </c>
      <c r="J8" s="21">
        <f>'Economic &amp; Pop. Data Inputs'!E$5</f>
        <v>2828700</v>
      </c>
      <c r="K8" s="21">
        <f>'Economic &amp; Pop. Data Inputs'!E$6</f>
        <v>2908100</v>
      </c>
      <c r="L8" s="21">
        <f>'Economic &amp; Pop. Data Inputs'!E$7</f>
        <v>2626600</v>
      </c>
      <c r="N8" s="21">
        <f>'Fishery Market Data Inputs'!F$7</f>
        <v>1105.1995629428</v>
      </c>
      <c r="O8" s="21">
        <f>N8*(G8/F8)^I8</f>
        <v>1253.4653664294049</v>
      </c>
      <c r="P8" s="21">
        <f>N8*(H8/G8)^I8</f>
        <v>1284.2945862389959</v>
      </c>
      <c r="R8" s="21">
        <f>'Fishery Market Data Inputs'!F$5</f>
        <v>2618.8930467141254</v>
      </c>
      <c r="S8" s="29">
        <f>'Fishery Market Data Inputs'!D28</f>
        <v>-0.60199999999999998</v>
      </c>
      <c r="T8" s="31">
        <f>(1/S8)*(R8/N8)</f>
        <v>-3.9362309047800554</v>
      </c>
      <c r="U8" s="21">
        <f>R8-T8*N8</f>
        <v>6969.2137223189848</v>
      </c>
      <c r="V8" s="28">
        <f>(0.5*(U8-R8)*N8)*10^-6</f>
        <v>2.4039862546697583</v>
      </c>
      <c r="W8" s="28">
        <f>(R8*N8)*10^-6</f>
        <v>2.8943994506223891</v>
      </c>
      <c r="Z8" s="21">
        <f t="shared" si="0"/>
        <v>3011.0049658650451</v>
      </c>
      <c r="AA8" s="31">
        <f t="shared" si="1"/>
        <v>-3.9362309047800554</v>
      </c>
      <c r="AB8" s="21">
        <f>$R8-$T8*O8</f>
        <v>7552.8221601250052</v>
      </c>
      <c r="AC8" s="21">
        <f>($U19-AB8)/($T8-$T19)</f>
        <v>1153.8492797118422</v>
      </c>
      <c r="AD8" s="28">
        <f>(0.5*($AB8-Z8)*AC8)*10^-6</f>
        <v>2.6202862490898573</v>
      </c>
      <c r="AE8" s="28">
        <f>(Z8*AC8)*10^-6</f>
        <v>3.4742459110721624</v>
      </c>
      <c r="AF8" s="28">
        <f>AC8*10^6/365/$K8</f>
        <v>1.0870433971734521</v>
      </c>
      <c r="AG8"/>
      <c r="AH8" s="21">
        <f>AJ8+$T8*AK8</f>
        <v>3092.5376204704371</v>
      </c>
      <c r="AI8" s="31">
        <f t="shared" si="2"/>
        <v>-3.9362309047800554</v>
      </c>
      <c r="AJ8" s="21">
        <f>$R8-$T8*P8</f>
        <v>7674.1730879097749</v>
      </c>
      <c r="AK8" s="21">
        <f>($U19-AJ8)/($T8-$T19)</f>
        <v>1163.9651174618643</v>
      </c>
      <c r="AL8" s="28">
        <f>(0.5*($AJ8-AH8)*AK8)*10^-6</f>
        <v>2.6664319325127361</v>
      </c>
      <c r="AM8" s="28">
        <f>(AH8*AK8)*10^-6</f>
        <v>3.5996059146661068</v>
      </c>
      <c r="AN8" s="28">
        <f>AK8*10^6/365/$L8</f>
        <v>1.2140963707046291</v>
      </c>
      <c r="AO8"/>
    </row>
    <row r="9" spans="2:41" s="15" customFormat="1" ht="20" customHeight="1" x14ac:dyDescent="0.45">
      <c r="B9" s="153"/>
      <c r="D9" s="16" t="s">
        <v>8</v>
      </c>
      <c r="F9" s="27">
        <f>'Economic &amp; Pop. Data Inputs'!D$5</f>
        <v>8069</v>
      </c>
      <c r="G9" s="27">
        <f>'Economic &amp; Pop. Data Inputs'!D$6</f>
        <v>9823</v>
      </c>
      <c r="H9" s="27">
        <f>'Economic &amp; Pop. Data Inputs'!D$7</f>
        <v>12421</v>
      </c>
      <c r="I9" s="29">
        <f>'Fishery Market Data Inputs'!E$29</f>
        <v>0.71900000000000008</v>
      </c>
      <c r="J9" s="21">
        <f>'Economic &amp; Pop. Data Inputs'!E$5</f>
        <v>2828700</v>
      </c>
      <c r="K9" s="21">
        <f>'Economic &amp; Pop. Data Inputs'!E$6</f>
        <v>2908100</v>
      </c>
      <c r="L9" s="21">
        <f>'Economic &amp; Pop. Data Inputs'!E$7</f>
        <v>2626600</v>
      </c>
      <c r="N9" s="21">
        <f>'Fishery Market Data Inputs'!G$7</f>
        <v>231.19971609979999</v>
      </c>
      <c r="O9" s="21">
        <f>N9*(G9/F9)^I9</f>
        <v>266.32225573138078</v>
      </c>
      <c r="P9" s="21">
        <f>N9*(H9/G9)^I9</f>
        <v>273.69213966258712</v>
      </c>
      <c r="R9" s="21">
        <f>'Fishery Market Data Inputs'!G$5</f>
        <v>1215.6243966335246</v>
      </c>
      <c r="S9" s="29">
        <f>'Fishery Market Data Inputs'!D29</f>
        <v>-0.59599999999999997</v>
      </c>
      <c r="T9" s="31">
        <f>(1/S9)*(R9/N9)</f>
        <v>-8.8219755793500862</v>
      </c>
      <c r="U9" s="21">
        <f>R9-T9*N9</f>
        <v>3255.2626460186329</v>
      </c>
      <c r="V9" s="28">
        <f>(0.5*(U9-R9)*N9)*10^-6</f>
        <v>0.23578189210206504</v>
      </c>
      <c r="W9" s="28">
        <f>(R9*N9)*10^-6</f>
        <v>0.28105201538566155</v>
      </c>
      <c r="Z9" s="21">
        <f t="shared" si="0"/>
        <v>1413.3446443862854</v>
      </c>
      <c r="AA9" s="31">
        <f t="shared" si="1"/>
        <v>-8.8219755793500862</v>
      </c>
      <c r="AB9" s="21">
        <f>$R9-$T9*O9</f>
        <v>3565.1128329331946</v>
      </c>
      <c r="AC9" s="21">
        <f>($U20-AB9)/($T9-$T20)</f>
        <v>243.91001416775964</v>
      </c>
      <c r="AD9" s="28">
        <f>(0.5*($AB9-Z9)*AC9)*10^-6</f>
        <v>0.26241890467710555</v>
      </c>
      <c r="AE9" s="28">
        <f>(Z9*AC9)*10^-6</f>
        <v>0.34472891223618607</v>
      </c>
      <c r="AF9" s="28">
        <f>AC9*10^6/365/$K9</f>
        <v>0.22978804516978285</v>
      </c>
      <c r="AG9"/>
      <c r="AH9" s="21">
        <f>AJ9+$T9*AK9</f>
        <v>1454.8329676132589</v>
      </c>
      <c r="AI9" s="31">
        <f t="shared" si="2"/>
        <v>-8.8219755793500862</v>
      </c>
      <c r="AJ9" s="21">
        <f>$R9-$T9*P9</f>
        <v>3630.1297689969415</v>
      </c>
      <c r="AK9" s="21">
        <f>($U20-AJ9)/($T9-$T20)</f>
        <v>246.57705995871009</v>
      </c>
      <c r="AL9" s="28">
        <f>(0.5*($AJ9-AH9)*AK9)*10^-6</f>
        <v>0.26818914491138729</v>
      </c>
      <c r="AM9" s="28">
        <f>(AH9*AK9)*10^-6</f>
        <v>0.35872843588508269</v>
      </c>
      <c r="AN9" s="28">
        <f>AK9*10^6/365/$L9</f>
        <v>0.2571969804796973</v>
      </c>
      <c r="AO9"/>
    </row>
    <row r="10" spans="2:41" s="15" customFormat="1" ht="20" customHeight="1" x14ac:dyDescent="0.45">
      <c r="B10" s="153"/>
      <c r="D10" s="16" t="s">
        <v>9</v>
      </c>
      <c r="F10" s="27">
        <f>'Economic &amp; Pop. Data Inputs'!D$5</f>
        <v>8069</v>
      </c>
      <c r="G10" s="27">
        <f>'Economic &amp; Pop. Data Inputs'!D$6</f>
        <v>9823</v>
      </c>
      <c r="H10" s="27">
        <f>'Economic &amp; Pop. Data Inputs'!D$7</f>
        <v>12421</v>
      </c>
      <c r="I10" s="29">
        <f>'Fishery Market Data Inputs'!E$30</f>
        <v>1.34</v>
      </c>
      <c r="J10" s="21">
        <f>'Economic &amp; Pop. Data Inputs'!E$5</f>
        <v>2828700</v>
      </c>
      <c r="K10" s="21">
        <f>'Economic &amp; Pop. Data Inputs'!E$6</f>
        <v>2908100</v>
      </c>
      <c r="L10" s="21">
        <f>'Economic &amp; Pop. Data Inputs'!E$7</f>
        <v>2626600</v>
      </c>
      <c r="N10" s="21">
        <f>'Fishery Market Data Inputs'!H$7</f>
        <v>45.802</v>
      </c>
      <c r="O10" s="21">
        <f>N10*(G10/F10)^I10</f>
        <v>59.614674457575127</v>
      </c>
      <c r="P10" s="21">
        <f>N10*(H10/G10)^I10</f>
        <v>62.725926117713797</v>
      </c>
      <c r="R10" s="21">
        <f>'Fishery Market Data Inputs'!H$5</f>
        <v>7086.66</v>
      </c>
      <c r="S10" s="29">
        <f>'Fishery Market Data Inputs'!D30</f>
        <v>-0.69</v>
      </c>
      <c r="T10" s="31">
        <f>(1/S10)*(R10/N10)</f>
        <v>-224.23740751780349</v>
      </c>
      <c r="U10" s="21">
        <f>R10-T10*N10</f>
        <v>17357.181739130436</v>
      </c>
      <c r="V10" s="28">
        <f>(0.5*(U10-R10)*N10)*10^-6</f>
        <v>0.23520521834782609</v>
      </c>
      <c r="W10" s="28">
        <f>(R10*N10)*10^-6</f>
        <v>0.32458320131999996</v>
      </c>
      <c r="Z10" s="21">
        <f t="shared" si="0"/>
        <v>8351.2455827013473</v>
      </c>
      <c r="AA10" s="31">
        <f t="shared" si="1"/>
        <v>-224.23740751780349</v>
      </c>
      <c r="AB10" s="21">
        <f>$R10-$T10*O10</f>
        <v>20454.500050384464</v>
      </c>
      <c r="AC10" s="21">
        <f>($U21-AB10)/($T10-$T21)</f>
        <v>53.975180152411326</v>
      </c>
      <c r="AD10" s="28">
        <f>(0.5*($AB10-Z10)*AC10)*10^-6</f>
        <v>0.3266376701618367</v>
      </c>
      <c r="AE10" s="28">
        <f>(Z10*AC10)*10^-6</f>
        <v>0.45075998482333446</v>
      </c>
      <c r="AF10" s="28">
        <f>AC10*10^6/365/$K10</f>
        <v>5.085011034593629E-2</v>
      </c>
      <c r="AG10"/>
      <c r="AH10" s="21">
        <f>AJ10+$T10*AK10</f>
        <v>8636.0886089850283</v>
      </c>
      <c r="AI10" s="31">
        <f t="shared" si="2"/>
        <v>-224.23740751780349</v>
      </c>
      <c r="AJ10" s="21">
        <f>$R10-$T10*P10</f>
        <v>21152.159056789424</v>
      </c>
      <c r="AK10" s="21">
        <f>($U21-AJ10)/($T10-$T21)</f>
        <v>55.816157466102851</v>
      </c>
      <c r="AL10" s="28">
        <f>(0.5*($AJ10-AH10)*AK10)*10^-6</f>
        <v>0.34929947948574325</v>
      </c>
      <c r="AM10" s="28">
        <f>(AH10*AK10)*10^-6</f>
        <v>0.48203328169032544</v>
      </c>
      <c r="AN10" s="28">
        <f>AK10*10^6/365/$L10</f>
        <v>5.8220124632294944E-2</v>
      </c>
      <c r="AO10"/>
    </row>
    <row r="11" spans="2:41" s="15" customFormat="1" ht="20" customHeight="1" x14ac:dyDescent="0.45">
      <c r="B11" s="153"/>
      <c r="D11" s="35" t="s">
        <v>22</v>
      </c>
      <c r="F11" s="21"/>
      <c r="G11" s="21"/>
      <c r="H11" s="21"/>
      <c r="I11" s="21"/>
      <c r="J11" s="21"/>
      <c r="K11" s="21"/>
      <c r="L11" s="21"/>
      <c r="N11" s="30">
        <f>SUM(N6:N10)</f>
        <v>1950.38631508818</v>
      </c>
      <c r="O11" s="30">
        <f>SUM(O6:O10)</f>
        <v>2264.4777309194606</v>
      </c>
      <c r="P11" s="30">
        <f>SUM(P6:P10)</f>
        <v>2331.1754885045807</v>
      </c>
      <c r="R11" s="21"/>
      <c r="S11" s="30"/>
      <c r="T11" s="31"/>
      <c r="U11" s="21"/>
      <c r="V11" s="32">
        <f>SUM(V6:V10)</f>
        <v>5.1305905610088187</v>
      </c>
      <c r="W11" s="32">
        <f>SUM(W6:W10)</f>
        <v>6.0909481100649803</v>
      </c>
      <c r="Z11" s="21">
        <f>AE11*10^6/AC11</f>
        <v>3665.8298265425956</v>
      </c>
      <c r="AA11" s="31"/>
      <c r="AB11" s="21"/>
      <c r="AC11" s="30">
        <f>SUM(AC6:AC10)</f>
        <v>2073.5651985583268</v>
      </c>
      <c r="AD11" s="32">
        <f>SUM(AD6:AD10)</f>
        <v>5.8606969114380414</v>
      </c>
      <c r="AE11" s="32">
        <f>SUM(AE6:AE10)</f>
        <v>7.6013371521558337</v>
      </c>
      <c r="AF11" s="32">
        <f>SUM(AF6:AF10)</f>
        <v>1.9535093511211501</v>
      </c>
      <c r="AG11"/>
      <c r="AH11" s="21">
        <f>AM11*10^6/AK11</f>
        <v>3782.3177763513081</v>
      </c>
      <c r="AI11" s="80"/>
      <c r="AJ11" s="21"/>
      <c r="AK11" s="30">
        <f>SUM(AK6:AK10)</f>
        <v>2099.9049980827735</v>
      </c>
      <c r="AL11" s="32">
        <f>SUM(AL6:AL10)</f>
        <v>6.0260188053267632</v>
      </c>
      <c r="AM11" s="32">
        <f>SUM(AM6:AM10)</f>
        <v>7.9425080028974335</v>
      </c>
      <c r="AN11" s="32">
        <f>SUM(AN6:AN10)</f>
        <v>2.190346599523707</v>
      </c>
      <c r="AO11"/>
    </row>
    <row r="12" spans="2:41" s="15" customFormat="1" ht="5" customHeight="1" x14ac:dyDescent="0.45">
      <c r="T12" s="24"/>
      <c r="U12" s="25"/>
      <c r="V12" s="25"/>
      <c r="W12" s="25"/>
      <c r="Z12" s="25"/>
      <c r="AC12" s="25"/>
      <c r="AD12" s="25"/>
      <c r="AE12" s="25"/>
      <c r="AF12" s="25"/>
      <c r="AG12"/>
      <c r="AH12" s="25"/>
      <c r="AI12" s="81"/>
      <c r="AK12" s="25"/>
      <c r="AL12" s="25"/>
      <c r="AM12" s="25"/>
      <c r="AN12" s="25"/>
      <c r="AO12"/>
    </row>
    <row r="13" spans="2:41" s="15" customFormat="1" ht="30" customHeight="1" x14ac:dyDescent="0.45">
      <c r="D13" s="18" t="s">
        <v>59</v>
      </c>
      <c r="N13" s="15" t="s">
        <v>86</v>
      </c>
      <c r="R13" s="152" t="s">
        <v>71</v>
      </c>
      <c r="S13" s="152"/>
      <c r="T13" s="152"/>
      <c r="U13" s="152"/>
      <c r="V13" s="152"/>
      <c r="W13" s="152"/>
      <c r="Z13" s="152" t="s">
        <v>83</v>
      </c>
      <c r="AA13" s="152"/>
      <c r="AB13" s="152"/>
      <c r="AC13" s="152"/>
      <c r="AD13" s="152"/>
      <c r="AE13" s="152"/>
      <c r="AG13"/>
      <c r="AH13" s="152" t="s">
        <v>116</v>
      </c>
      <c r="AI13" s="152"/>
      <c r="AJ13" s="152"/>
      <c r="AK13" s="152"/>
      <c r="AL13" s="152"/>
      <c r="AM13" s="152"/>
      <c r="AO13"/>
    </row>
    <row r="14" spans="2:41" s="15" customFormat="1" ht="5" customHeight="1" x14ac:dyDescent="0.45">
      <c r="AG14"/>
      <c r="AI14" s="81"/>
      <c r="AO14"/>
    </row>
    <row r="15" spans="2:41" s="60" customFormat="1" ht="60" customHeight="1" x14ac:dyDescent="0.45">
      <c r="B15" s="153" t="s">
        <v>138</v>
      </c>
      <c r="D15" s="59" t="s">
        <v>118</v>
      </c>
      <c r="F15" s="61"/>
      <c r="G15" s="61"/>
      <c r="H15" s="61"/>
      <c r="I15" s="61"/>
      <c r="J15" s="61"/>
      <c r="K15" s="61"/>
      <c r="L15" s="61"/>
      <c r="M15" s="61"/>
      <c r="N15" s="59" t="s">
        <v>55</v>
      </c>
      <c r="O15" s="61"/>
      <c r="P15" s="61"/>
      <c r="R15" s="59" t="s">
        <v>62</v>
      </c>
      <c r="S15" s="59" t="s">
        <v>61</v>
      </c>
      <c r="T15" s="59" t="s">
        <v>63</v>
      </c>
      <c r="U15" s="59" t="s">
        <v>70</v>
      </c>
      <c r="V15" s="59" t="s">
        <v>66</v>
      </c>
      <c r="W15" s="59" t="s">
        <v>68</v>
      </c>
      <c r="Z15" s="59" t="s">
        <v>84</v>
      </c>
      <c r="AA15" s="59" t="s">
        <v>63</v>
      </c>
      <c r="AB15" s="59" t="s">
        <v>75</v>
      </c>
      <c r="AC15" s="59" t="s">
        <v>106</v>
      </c>
      <c r="AD15" s="59" t="s">
        <v>77</v>
      </c>
      <c r="AE15" s="59" t="s">
        <v>80</v>
      </c>
      <c r="AF15" s="61"/>
      <c r="AG15" s="61"/>
      <c r="AH15" s="59" t="s">
        <v>117</v>
      </c>
      <c r="AI15" s="82" t="s">
        <v>63</v>
      </c>
      <c r="AJ15" s="59" t="s">
        <v>75</v>
      </c>
      <c r="AK15" s="59" t="s">
        <v>114</v>
      </c>
      <c r="AL15" s="59" t="s">
        <v>110</v>
      </c>
      <c r="AM15" s="59" t="s">
        <v>111</v>
      </c>
      <c r="AN15" s="61"/>
      <c r="AO15" s="61"/>
    </row>
    <row r="16" spans="2:41" s="60" customFormat="1" ht="20" customHeight="1" x14ac:dyDescent="0.45">
      <c r="B16" s="153"/>
      <c r="D16" s="59"/>
      <c r="F16" s="61"/>
      <c r="G16" s="61"/>
      <c r="H16" s="61"/>
      <c r="I16" s="61"/>
      <c r="J16" s="61"/>
      <c r="K16" s="61"/>
      <c r="L16" s="61"/>
      <c r="M16" s="61"/>
      <c r="N16" s="66" t="s">
        <v>11</v>
      </c>
      <c r="O16" s="61"/>
      <c r="P16" s="61"/>
      <c r="R16" s="66" t="s">
        <v>89</v>
      </c>
      <c r="S16" s="66"/>
      <c r="T16" s="66"/>
      <c r="U16" s="66" t="s">
        <v>11</v>
      </c>
      <c r="V16" s="66" t="s">
        <v>165</v>
      </c>
      <c r="W16" s="66" t="s">
        <v>165</v>
      </c>
      <c r="Z16" s="66" t="s">
        <v>89</v>
      </c>
      <c r="AA16" s="59"/>
      <c r="AB16" s="66" t="s">
        <v>11</v>
      </c>
      <c r="AC16" s="66" t="s">
        <v>11</v>
      </c>
      <c r="AD16" s="66" t="s">
        <v>165</v>
      </c>
      <c r="AE16" s="66" t="s">
        <v>165</v>
      </c>
      <c r="AF16" s="61"/>
      <c r="AG16" s="61"/>
      <c r="AH16" s="66" t="s">
        <v>89</v>
      </c>
      <c r="AI16" s="59"/>
      <c r="AJ16" s="66" t="s">
        <v>11</v>
      </c>
      <c r="AK16" s="66" t="s">
        <v>11</v>
      </c>
      <c r="AL16" s="66" t="s">
        <v>165</v>
      </c>
      <c r="AM16" s="66" t="s">
        <v>165</v>
      </c>
      <c r="AN16" s="61"/>
      <c r="AO16" s="61"/>
    </row>
    <row r="17" spans="2:60" s="15" customFormat="1" ht="20" customHeight="1" x14ac:dyDescent="0.45">
      <c r="B17" s="153"/>
      <c r="D17" s="16" t="s">
        <v>5</v>
      </c>
      <c r="F17"/>
      <c r="G17"/>
      <c r="H17"/>
      <c r="I17"/>
      <c r="J17"/>
      <c r="K17"/>
      <c r="L17"/>
      <c r="M17"/>
      <c r="N17" s="21">
        <f>N6</f>
        <v>418.14550056834003</v>
      </c>
      <c r="O17"/>
      <c r="P17"/>
      <c r="R17" s="21">
        <f>'Fishery Market Data Inputs'!D$5</f>
        <v>5340.8921131297102</v>
      </c>
      <c r="S17" s="29">
        <f>'Fishery Market Data Inputs'!C26</f>
        <v>0.38200000000000001</v>
      </c>
      <c r="T17" s="31">
        <f>(1/S17)*(R17/N17)</f>
        <v>33.43666964562513</v>
      </c>
      <c r="U17" s="21">
        <f>R17-T17*N17</f>
        <v>-8640.5008531784297</v>
      </c>
      <c r="V17" s="28">
        <f>((R17*N17)-((N17-((U17*-1)/T17))*R17)*0.5)*10^-6</f>
        <v>1.8067154349560326</v>
      </c>
      <c r="W17" s="28">
        <f>(R17*N17)*10^-6</f>
        <v>2.2332700061261219</v>
      </c>
      <c r="Z17" s="21">
        <f>$AB17+$AA17*AC17</f>
        <v>6275.7063728555459</v>
      </c>
      <c r="AA17" s="31">
        <f>T17</f>
        <v>33.43666964562513</v>
      </c>
      <c r="AB17" s="21">
        <f>U17</f>
        <v>-8640.5008531784297</v>
      </c>
      <c r="AC17" s="21">
        <f>($U17-AB6)/($T6-$T17)</f>
        <v>446.10325681719377</v>
      </c>
      <c r="AD17" s="28">
        <f>((Z17*AC17)-((AC17-((AB17*-1)/AA17))*Z17)*0.5)*10^-6</f>
        <v>2.2106714661331979</v>
      </c>
      <c r="AE17" s="28">
        <f>(Z17*AC17)*10^-6</f>
        <v>2.7996130517592768</v>
      </c>
      <c r="AF17"/>
      <c r="AG17"/>
      <c r="AH17" s="21">
        <f>$AB17+$AA17*AK17</f>
        <v>6473.6515200728209</v>
      </c>
      <c r="AI17" s="31">
        <f>T17</f>
        <v>33.43666964562513</v>
      </c>
      <c r="AJ17" s="21">
        <f>U17</f>
        <v>-8640.5008531784297</v>
      </c>
      <c r="AK17" s="21">
        <f>($U17-AJ6)/($T6-$T17)</f>
        <v>452.02325869881582</v>
      </c>
      <c r="AL17" s="28">
        <f>((AH17*AK17)-((AK17-((AJ17*-1)/AI17))*AH17)*0.5)*10^-6</f>
        <v>2.2995613587999753</v>
      </c>
      <c r="AM17" s="28">
        <f>(AH17*AK17)*10^-6</f>
        <v>2.926241055783859</v>
      </c>
      <c r="AN17"/>
      <c r="AO17"/>
    </row>
    <row r="18" spans="2:60" s="15" customFormat="1" ht="20" customHeight="1" x14ac:dyDescent="0.45">
      <c r="B18" s="153"/>
      <c r="D18" s="16" t="s">
        <v>6</v>
      </c>
      <c r="F18"/>
      <c r="G18"/>
      <c r="H18"/>
      <c r="I18"/>
      <c r="J18"/>
      <c r="K18"/>
      <c r="L18"/>
      <c r="M18"/>
      <c r="N18" s="21">
        <f>N7</f>
        <v>150.03953547724001</v>
      </c>
      <c r="O18"/>
      <c r="P18"/>
      <c r="R18" s="21">
        <f>'Fishery Market Data Inputs'!E$5</f>
        <v>2383.6613161539653</v>
      </c>
      <c r="S18" s="29">
        <f>'Fishery Market Data Inputs'!C27</f>
        <v>0.63400000000000001</v>
      </c>
      <c r="T18" s="31">
        <f>(1/S18)*(R18/N18)</f>
        <v>25.058183180332669</v>
      </c>
      <c r="U18" s="21">
        <f>R18-T18*N18</f>
        <v>-1376.0568481267369</v>
      </c>
      <c r="V18" s="28">
        <f t="shared" ref="V18:V21" si="3">((R18*N18)-((N18-((U18*-1)/T18))*R18)*0.5)*10^-6</f>
        <v>0.24427046720518147</v>
      </c>
      <c r="W18" s="28">
        <f>(R18*N18)*10^-6</f>
        <v>0.3576434366108075</v>
      </c>
      <c r="Z18" s="21">
        <f t="shared" ref="Z18:Z21" si="4">$AB18+$AA18*AC18</f>
        <v>3027.3542275443865</v>
      </c>
      <c r="AA18" s="31">
        <f t="shared" ref="AA18:AA21" si="5">T18</f>
        <v>25.058183180332669</v>
      </c>
      <c r="AB18" s="21">
        <f t="shared" ref="AB18:AB21" si="6">U18</f>
        <v>-1376.0568481267369</v>
      </c>
      <c r="AC18" s="21">
        <f>($U18-AB7)/($T7-$T18)</f>
        <v>175.72746770912002</v>
      </c>
      <c r="AD18" s="28">
        <f t="shared" ref="AD18:AD21" si="7">((Z18*AC18)-((AC18-((AB18*-1)/AA18))*Z18)*0.5)*10^-6</f>
        <v>0.34911742256316192</v>
      </c>
      <c r="AE18" s="28">
        <f>(Z18*AC18)*10^-6</f>
        <v>0.53198929226487424</v>
      </c>
      <c r="AF18"/>
      <c r="AG18"/>
      <c r="AH18" s="21">
        <f t="shared" ref="AH18:AH21" si="8">$AB18+$AA18*AK18</f>
        <v>3172.5898732837363</v>
      </c>
      <c r="AI18" s="31">
        <f t="shared" ref="AI18:AI21" si="9">T18</f>
        <v>25.058183180332669</v>
      </c>
      <c r="AJ18" s="21">
        <f t="shared" ref="AJ18:AJ21" si="10">U18</f>
        <v>-1376.0568481267369</v>
      </c>
      <c r="AK18" s="21">
        <f>($U18-AJ7)/($T7-$T18)</f>
        <v>181.52340449728032</v>
      </c>
      <c r="AL18" s="28">
        <f t="shared" ref="AL18:AL21" si="11">((AH18*AK18)-((AK18-((AJ18*-1)/AI18))*AH18)*0.5)*10^-6</f>
        <v>0.37506020312108312</v>
      </c>
      <c r="AM18" s="28">
        <f>(AH18*AK18)*10^-6</f>
        <v>0.57589931487205903</v>
      </c>
      <c r="AN18"/>
      <c r="AO18"/>
    </row>
    <row r="19" spans="2:60" s="15" customFormat="1" ht="20" customHeight="1" x14ac:dyDescent="0.45">
      <c r="B19" s="153"/>
      <c r="D19" s="16" t="s">
        <v>7</v>
      </c>
      <c r="F19"/>
      <c r="G19"/>
      <c r="H19"/>
      <c r="I19"/>
      <c r="J19"/>
      <c r="K19"/>
      <c r="L19"/>
      <c r="M19"/>
      <c r="N19" s="21">
        <f>N8</f>
        <v>1105.1995629428</v>
      </c>
      <c r="O19"/>
      <c r="P19"/>
      <c r="R19" s="21">
        <f>'Fishery Market Data Inputs'!F$5</f>
        <v>2618.8930467141254</v>
      </c>
      <c r="S19" s="29">
        <f>'Fishery Market Data Inputs'!C28</f>
        <v>0.29399999999999998</v>
      </c>
      <c r="T19" s="31">
        <f>(1/S19)*(R19/N19)</f>
        <v>8.0599013764544001</v>
      </c>
      <c r="U19" s="21">
        <f>R19-T19*N19</f>
        <v>-6288.9064319053487</v>
      </c>
      <c r="V19" s="28">
        <f t="shared" si="3"/>
        <v>2.4689227313808977</v>
      </c>
      <c r="W19" s="28">
        <f>(R19*N19)*10^-6</f>
        <v>2.8943994506223891</v>
      </c>
      <c r="Z19" s="21">
        <f t="shared" si="4"/>
        <v>3011.004965865046</v>
      </c>
      <c r="AA19" s="31">
        <f t="shared" si="5"/>
        <v>8.0599013764544001</v>
      </c>
      <c r="AB19" s="21">
        <f t="shared" si="6"/>
        <v>-6288.9064319053487</v>
      </c>
      <c r="AC19" s="21">
        <f>($U19-AB8)/($T8-$T19)</f>
        <v>1153.8492797118422</v>
      </c>
      <c r="AD19" s="28">
        <f t="shared" si="7"/>
        <v>2.9118227199553863</v>
      </c>
      <c r="AE19" s="28">
        <f>(Z19*AC19)*10^-6</f>
        <v>3.4742459110721633</v>
      </c>
      <c r="AF19"/>
      <c r="AG19"/>
      <c r="AH19" s="21">
        <f t="shared" si="8"/>
        <v>3092.5376204704389</v>
      </c>
      <c r="AI19" s="31">
        <f t="shared" si="9"/>
        <v>8.0599013764544001</v>
      </c>
      <c r="AJ19" s="21">
        <f t="shared" si="10"/>
        <v>-6288.9064319053487</v>
      </c>
      <c r="AK19" s="21">
        <f>($U19-AJ8)/($T8-$T19)</f>
        <v>1163.9651174618643</v>
      </c>
      <c r="AL19" s="28">
        <f t="shared" si="11"/>
        <v>3.0063115002974716</v>
      </c>
      <c r="AM19" s="28">
        <f>(AH19*AK19)*10^-6</f>
        <v>3.5996059146661086</v>
      </c>
      <c r="AN19"/>
      <c r="AO19"/>
    </row>
    <row r="20" spans="2:60" s="15" customFormat="1" ht="20" customHeight="1" x14ac:dyDescent="0.45">
      <c r="B20" s="153"/>
      <c r="D20" s="16" t="s">
        <v>8</v>
      </c>
      <c r="F20"/>
      <c r="G20"/>
      <c r="H20"/>
      <c r="I20"/>
      <c r="J20"/>
      <c r="K20"/>
      <c r="L20"/>
      <c r="M20"/>
      <c r="N20" s="21">
        <f>N9</f>
        <v>231.19971609979999</v>
      </c>
      <c r="O20"/>
      <c r="P20"/>
      <c r="R20" s="21">
        <f>'Fishery Market Data Inputs'!G$5</f>
        <v>1215.6243966335246</v>
      </c>
      <c r="S20" s="29">
        <f>'Fishery Market Data Inputs'!C29</f>
        <v>0.33800000000000002</v>
      </c>
      <c r="T20" s="31">
        <f>(1/S20)*(R20/N20)</f>
        <v>15.555909601457548</v>
      </c>
      <c r="U20" s="21">
        <f>R20-T20*N20</f>
        <v>-2380.8974868976134</v>
      </c>
      <c r="V20" s="28">
        <f t="shared" si="3"/>
        <v>0.23355422478548477</v>
      </c>
      <c r="W20" s="28">
        <f>(R20*N20)*10^-6</f>
        <v>0.28105201538566155</v>
      </c>
      <c r="Z20" s="21">
        <f t="shared" si="4"/>
        <v>1413.3446443862854</v>
      </c>
      <c r="AA20" s="31">
        <f t="shared" si="5"/>
        <v>15.555909601457548</v>
      </c>
      <c r="AB20" s="21">
        <f t="shared" si="6"/>
        <v>-2380.8974868976134</v>
      </c>
      <c r="AC20" s="21">
        <f>($U20-AB9)/($T9-$T20)</f>
        <v>243.91001416775964</v>
      </c>
      <c r="AD20" s="28">
        <f t="shared" si="7"/>
        <v>0.28052363157460936</v>
      </c>
      <c r="AE20" s="28">
        <f>(Z20*AC20)*10^-6</f>
        <v>0.34472891223618607</v>
      </c>
      <c r="AF20"/>
      <c r="AG20"/>
      <c r="AH20" s="21">
        <f t="shared" si="8"/>
        <v>1454.8329676132585</v>
      </c>
      <c r="AI20" s="31">
        <f t="shared" si="9"/>
        <v>15.555909601457548</v>
      </c>
      <c r="AJ20" s="21">
        <f t="shared" si="10"/>
        <v>-2380.8974868976134</v>
      </c>
      <c r="AK20" s="21">
        <f>($U20-AJ9)/($T9-$T20)</f>
        <v>246.57705995871009</v>
      </c>
      <c r="AL20" s="28">
        <f t="shared" si="11"/>
        <v>0.29069837470961502</v>
      </c>
      <c r="AM20" s="28">
        <f>(AH20*AK20)*10^-6</f>
        <v>0.35872843588508257</v>
      </c>
      <c r="AN20"/>
      <c r="AO20"/>
    </row>
    <row r="21" spans="2:60" s="15" customFormat="1" ht="20" customHeight="1" x14ac:dyDescent="0.45">
      <c r="B21" s="153"/>
      <c r="D21" s="16" t="s">
        <v>9</v>
      </c>
      <c r="F21"/>
      <c r="G21"/>
      <c r="H21"/>
      <c r="I21"/>
      <c r="J21"/>
      <c r="K21"/>
      <c r="L21"/>
      <c r="M21"/>
      <c r="N21" s="21">
        <f>N10</f>
        <v>45.802</v>
      </c>
      <c r="O21"/>
      <c r="P21"/>
      <c r="R21" s="21">
        <f>'Fishery Market Data Inputs'!H$5</f>
        <v>7086.66</v>
      </c>
      <c r="S21" s="29">
        <f>'Fishery Market Data Inputs'!C30</f>
        <v>1</v>
      </c>
      <c r="T21" s="31">
        <f>(1/S21)*(R21/N21)</f>
        <v>154.72381118728438</v>
      </c>
      <c r="U21" s="21">
        <f>R21-T21*N21</f>
        <v>0</v>
      </c>
      <c r="V21" s="28">
        <f t="shared" si="3"/>
        <v>0.16229160065999998</v>
      </c>
      <c r="W21" s="28">
        <f>(R21*N21)*10^-6</f>
        <v>0.32458320131999996</v>
      </c>
      <c r="Z21" s="21">
        <f t="shared" si="4"/>
        <v>8351.2455827013491</v>
      </c>
      <c r="AA21" s="31">
        <f t="shared" si="5"/>
        <v>154.72381118728438</v>
      </c>
      <c r="AB21" s="21">
        <f t="shared" si="6"/>
        <v>0</v>
      </c>
      <c r="AC21" s="21">
        <f>($U21-AB10)/($T10-$T21)</f>
        <v>53.975180152411326</v>
      </c>
      <c r="AD21" s="28">
        <f t="shared" si="7"/>
        <v>0.22537999241166728</v>
      </c>
      <c r="AE21" s="28">
        <f>(Z21*AC21)*10^-6</f>
        <v>0.45075998482333457</v>
      </c>
      <c r="AF21"/>
      <c r="AG21"/>
      <c r="AH21" s="21">
        <f t="shared" si="8"/>
        <v>8636.0886089850319</v>
      </c>
      <c r="AI21" s="31">
        <f t="shared" si="9"/>
        <v>154.72381118728438</v>
      </c>
      <c r="AJ21" s="21">
        <f t="shared" si="10"/>
        <v>0</v>
      </c>
      <c r="AK21" s="21">
        <f>($U21-AJ10)/($T10-$T21)</f>
        <v>55.816157466102851</v>
      </c>
      <c r="AL21" s="28">
        <f t="shared" si="11"/>
        <v>0.24101664084516281</v>
      </c>
      <c r="AM21" s="28">
        <f>(AH21*AK21)*10^-6</f>
        <v>0.48203328169032561</v>
      </c>
      <c r="AN21"/>
      <c r="AO21"/>
    </row>
    <row r="22" spans="2:60" s="15" customFormat="1" ht="20" customHeight="1" x14ac:dyDescent="0.45">
      <c r="B22" s="153"/>
      <c r="D22" s="35" t="s">
        <v>22</v>
      </c>
      <c r="F22"/>
      <c r="G22"/>
      <c r="H22"/>
      <c r="I22"/>
      <c r="J22"/>
      <c r="K22"/>
      <c r="L22"/>
      <c r="M22"/>
      <c r="N22" s="30">
        <f>SUM(N17:N21)</f>
        <v>1950.38631508818</v>
      </c>
      <c r="O22"/>
      <c r="P22"/>
      <c r="R22" s="21"/>
      <c r="S22" s="21"/>
      <c r="T22" s="31"/>
      <c r="U22" s="21"/>
      <c r="V22" s="32">
        <f>SUM(V17:V21)</f>
        <v>4.915754458987597</v>
      </c>
      <c r="W22" s="32">
        <f>SUM(W17:W21)</f>
        <v>6.0909481100649803</v>
      </c>
      <c r="Z22" s="21"/>
      <c r="AA22" s="31"/>
      <c r="AB22" s="21"/>
      <c r="AC22" s="30">
        <f>SUM(AC17:AC21)</f>
        <v>2073.5651985583268</v>
      </c>
      <c r="AD22" s="32">
        <f>SUM(AD17:AD21)</f>
        <v>5.977515232638023</v>
      </c>
      <c r="AE22" s="32">
        <f>SUM(AE17:AE21)</f>
        <v>7.6013371521558355</v>
      </c>
      <c r="AF22"/>
      <c r="AG22"/>
      <c r="AH22" s="21"/>
      <c r="AI22" s="31"/>
      <c r="AJ22" s="21"/>
      <c r="AK22" s="30">
        <f>SUM(AK17:AK21)</f>
        <v>2099.9049980827735</v>
      </c>
      <c r="AL22" s="32">
        <f>SUM(AL17:AL21)</f>
        <v>6.2126480777733084</v>
      </c>
      <c r="AM22" s="32">
        <f>SUM(AM17:AM21)</f>
        <v>7.9425080028974353</v>
      </c>
      <c r="AN22"/>
      <c r="AO22"/>
    </row>
    <row r="23" spans="2:60" s="15" customFormat="1" ht="5" customHeight="1" x14ac:dyDescent="0.45">
      <c r="AF23"/>
      <c r="AG23"/>
      <c r="AN23"/>
      <c r="AO23"/>
    </row>
    <row r="24" spans="2:60" ht="30" customHeight="1" x14ac:dyDescent="0.45">
      <c r="D24"/>
      <c r="E24"/>
      <c r="F24"/>
      <c r="G24"/>
      <c r="H24"/>
      <c r="I24"/>
      <c r="M24" s="26"/>
      <c r="N24" s="15" t="s">
        <v>85</v>
      </c>
      <c r="U24" s="44" t="s">
        <v>139</v>
      </c>
      <c r="V24" s="65">
        <f>V11+V22</f>
        <v>10.046345019996416</v>
      </c>
      <c r="Z24" s="44"/>
      <c r="AC24" s="44" t="s">
        <v>139</v>
      </c>
      <c r="AD24" s="65">
        <f>AD11+AD22</f>
        <v>11.838212144076063</v>
      </c>
      <c r="AF24"/>
      <c r="AK24" s="44" t="s">
        <v>139</v>
      </c>
      <c r="AL24" s="65">
        <f>AL11+AL22</f>
        <v>12.238666883100072</v>
      </c>
      <c r="AN24"/>
    </row>
    <row r="25" spans="2:60" ht="5" customHeight="1" x14ac:dyDescent="0.45">
      <c r="D25"/>
      <c r="E25"/>
      <c r="F25"/>
      <c r="G25"/>
      <c r="H25"/>
      <c r="I25"/>
      <c r="M25" s="26"/>
      <c r="N25" s="26"/>
    </row>
    <row r="26" spans="2:60" s="2" customFormat="1" ht="20" customHeight="1" x14ac:dyDescent="0.45">
      <c r="D26"/>
      <c r="E26"/>
      <c r="F26"/>
      <c r="G26"/>
      <c r="H26"/>
      <c r="I26"/>
      <c r="M26" s="7"/>
      <c r="N26" s="7"/>
      <c r="T26" s="7"/>
      <c r="U26" s="15"/>
      <c r="V26" s="7"/>
      <c r="Z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2:60" s="2" customFormat="1" ht="20" customHeight="1" x14ac:dyDescent="0.45">
      <c r="D27"/>
      <c r="E27"/>
      <c r="F27"/>
      <c r="G27"/>
      <c r="H27"/>
      <c r="I27"/>
      <c r="M27" s="7"/>
      <c r="N27" s="7"/>
      <c r="T27" s="7"/>
      <c r="U27" s="15"/>
      <c r="V27" s="7"/>
      <c r="Z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2:60" s="2" customFormat="1" ht="20" customHeight="1" x14ac:dyDescent="0.45">
      <c r="D28"/>
      <c r="E28"/>
      <c r="F28"/>
      <c r="G28"/>
      <c r="H28"/>
      <c r="I28"/>
      <c r="M28" s="7"/>
      <c r="N28" s="7"/>
      <c r="Z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2:60" s="2" customFormat="1" ht="20" customHeight="1" x14ac:dyDescent="0.45">
      <c r="D29"/>
      <c r="E29"/>
      <c r="F29"/>
      <c r="G29"/>
      <c r="H29"/>
      <c r="I29"/>
      <c r="M29" s="7"/>
      <c r="N29" s="7"/>
      <c r="Z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2:60" s="2" customFormat="1" ht="20" customHeight="1" x14ac:dyDescent="0.45">
      <c r="D30"/>
      <c r="E30"/>
      <c r="F30"/>
      <c r="G30"/>
      <c r="H30"/>
      <c r="I30"/>
      <c r="M30" s="7"/>
      <c r="N30" s="7"/>
      <c r="Z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2:60" s="2" customFormat="1" ht="20" customHeight="1" x14ac:dyDescent="0.45">
      <c r="D31"/>
      <c r="E31"/>
      <c r="F31"/>
      <c r="G31"/>
      <c r="H31"/>
      <c r="I31"/>
      <c r="M31" s="7"/>
      <c r="N31" s="7"/>
      <c r="Z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2:60" x14ac:dyDescent="0.45">
      <c r="D32"/>
      <c r="E32"/>
      <c r="F32"/>
      <c r="G32"/>
      <c r="H32"/>
      <c r="I32"/>
    </row>
    <row r="34" spans="21:21" x14ac:dyDescent="0.45">
      <c r="U34" s="69"/>
    </row>
  </sheetData>
  <sheetProtection algorithmName="SHA-512" hashValue="pKJJIK3Gy6BnKXK0N2bY4Z9QxNC3rw/smI8w1KdWEmyLttWEUPrjpVy2j6J3F9DVaGU+a6jl8VJXxavWXn52Mg==" saltValue="gF+dCySRXrWTsOBwPMU0SQ==" spinCount="100000" sheet="1" objects="1" scenarios="1" selectLockedCells="1"/>
  <mergeCells count="8">
    <mergeCell ref="AH2:AN2"/>
    <mergeCell ref="AH13:AM13"/>
    <mergeCell ref="B4:B11"/>
    <mergeCell ref="B15:B22"/>
    <mergeCell ref="R2:W2"/>
    <mergeCell ref="R13:W13"/>
    <mergeCell ref="Z2:AF2"/>
    <mergeCell ref="Z13:AE1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48A25-C060-49E7-A6BC-AEB5C38E9BE2}">
  <dimension ref="B2:CK33"/>
  <sheetViews>
    <sheetView showGridLines="0" zoomScale="90" zoomScaleNormal="90" workbookViewId="0">
      <selection activeCell="W30" sqref="W30"/>
    </sheetView>
  </sheetViews>
  <sheetFormatPr defaultRowHeight="14.25" x14ac:dyDescent="0.45"/>
  <cols>
    <col min="1" max="1" width="2.59765625" style="7" customWidth="1"/>
    <col min="2" max="2" width="5.59765625" style="7" customWidth="1"/>
    <col min="3" max="3" width="2.59765625" style="7" customWidth="1"/>
    <col min="4" max="9" width="15.59765625" style="2" customWidth="1"/>
    <col min="10" max="10" width="1.59765625" style="7" customWidth="1"/>
    <col min="11" max="12" width="15.59765625" style="7" customWidth="1"/>
    <col min="13" max="16" width="15.59765625" style="2" customWidth="1"/>
    <col min="17" max="17" width="2.59765625" style="6" customWidth="1"/>
    <col min="18" max="23" width="15.59765625" style="2" customWidth="1"/>
    <col min="24" max="24" width="1.59765625" style="7" customWidth="1"/>
    <col min="25" max="30" width="15.59765625" style="2" customWidth="1"/>
    <col min="31" max="31" width="1.59765625" style="7" customWidth="1"/>
    <col min="32" max="33" width="15.59765625" style="2" customWidth="1"/>
    <col min="34" max="34" width="1.59765625" style="7" customWidth="1"/>
    <col min="35" max="81" width="9.06640625" style="7"/>
    <col min="82" max="89" width="9.06640625" style="2"/>
    <col min="90" max="16384" width="9.06640625" style="7"/>
  </cols>
  <sheetData>
    <row r="2" spans="2:89" ht="30" customHeight="1" x14ac:dyDescent="0.45">
      <c r="D2" s="155" t="s">
        <v>130</v>
      </c>
      <c r="E2" s="155"/>
      <c r="F2" s="155"/>
      <c r="G2" s="155"/>
      <c r="H2" s="155"/>
      <c r="I2" s="155"/>
      <c r="K2" s="155" t="s">
        <v>134</v>
      </c>
      <c r="L2" s="155"/>
      <c r="M2" s="155"/>
      <c r="N2" s="155"/>
      <c r="O2" s="155"/>
      <c r="P2" s="155"/>
      <c r="R2" s="155" t="s">
        <v>140</v>
      </c>
      <c r="S2" s="155"/>
      <c r="T2" s="155"/>
      <c r="U2" s="155"/>
      <c r="V2" s="155"/>
      <c r="W2" s="155"/>
      <c r="Y2" s="155" t="s">
        <v>141</v>
      </c>
      <c r="Z2" s="155"/>
      <c r="AA2" s="155"/>
      <c r="AB2" s="155"/>
      <c r="AC2" s="155"/>
      <c r="AD2" s="155"/>
      <c r="AF2" s="15"/>
      <c r="AG2" s="15"/>
      <c r="CD2" s="15"/>
      <c r="CE2" s="15"/>
      <c r="CF2" s="15"/>
      <c r="CG2" s="15"/>
      <c r="CH2" s="15"/>
      <c r="CI2" s="15"/>
      <c r="CJ2" s="15"/>
      <c r="CK2" s="15"/>
    </row>
    <row r="3" spans="2:89" ht="5" customHeight="1" x14ac:dyDescent="0.45">
      <c r="D3" s="15"/>
      <c r="E3" s="15"/>
      <c r="F3" s="15"/>
      <c r="G3" s="15"/>
      <c r="H3" s="15"/>
      <c r="I3" s="15"/>
      <c r="M3" s="15"/>
      <c r="N3" s="15"/>
      <c r="O3" s="15"/>
      <c r="P3" s="15"/>
      <c r="R3" s="15"/>
      <c r="S3" s="15"/>
      <c r="T3" s="15"/>
      <c r="U3" s="15"/>
      <c r="V3" s="15"/>
      <c r="W3" s="15"/>
      <c r="Y3" s="15"/>
      <c r="Z3" s="15"/>
      <c r="AA3" s="15"/>
      <c r="AB3" s="15"/>
      <c r="AC3" s="15"/>
      <c r="AD3" s="15"/>
      <c r="AF3" s="15"/>
      <c r="AG3" s="15"/>
      <c r="CD3" s="15"/>
      <c r="CE3" s="15"/>
      <c r="CF3" s="15"/>
      <c r="CG3" s="15"/>
      <c r="CH3" s="15"/>
      <c r="CI3" s="15"/>
      <c r="CJ3" s="15"/>
      <c r="CK3" s="15"/>
    </row>
    <row r="4" spans="2:89" s="83" customFormat="1" ht="60" customHeight="1" x14ac:dyDescent="0.45">
      <c r="B4" s="154" t="s">
        <v>137</v>
      </c>
      <c r="D4" s="59" t="s">
        <v>123</v>
      </c>
      <c r="E4" s="59" t="s">
        <v>124</v>
      </c>
      <c r="F4" s="59" t="s">
        <v>121</v>
      </c>
      <c r="G4" s="59" t="s">
        <v>122</v>
      </c>
      <c r="H4" s="59" t="s">
        <v>126</v>
      </c>
      <c r="I4" s="59" t="s">
        <v>125</v>
      </c>
      <c r="K4" s="59" t="s">
        <v>123</v>
      </c>
      <c r="L4" s="59" t="s">
        <v>124</v>
      </c>
      <c r="M4" s="59" t="s">
        <v>121</v>
      </c>
      <c r="N4" s="59" t="s">
        <v>122</v>
      </c>
      <c r="O4" s="59" t="s">
        <v>126</v>
      </c>
      <c r="P4" s="59" t="s">
        <v>125</v>
      </c>
      <c r="Q4" s="64"/>
      <c r="R4" s="59" t="s">
        <v>123</v>
      </c>
      <c r="S4" s="59" t="s">
        <v>124</v>
      </c>
      <c r="T4" s="59" t="s">
        <v>121</v>
      </c>
      <c r="U4" s="59" t="s">
        <v>122</v>
      </c>
      <c r="V4" s="59" t="s">
        <v>126</v>
      </c>
      <c r="W4" s="59" t="s">
        <v>125</v>
      </c>
      <c r="Y4" s="59" t="s">
        <v>123</v>
      </c>
      <c r="Z4" s="59" t="s">
        <v>124</v>
      </c>
      <c r="AA4" s="59" t="s">
        <v>121</v>
      </c>
      <c r="AB4" s="59" t="s">
        <v>122</v>
      </c>
      <c r="AC4" s="59" t="s">
        <v>126</v>
      </c>
      <c r="AD4" s="59" t="s">
        <v>125</v>
      </c>
      <c r="CD4" s="60"/>
      <c r="CE4" s="60"/>
      <c r="CF4" s="60"/>
      <c r="CG4" s="60"/>
      <c r="CH4" s="60"/>
      <c r="CI4" s="60"/>
      <c r="CJ4" s="60"/>
      <c r="CK4" s="60"/>
    </row>
    <row r="5" spans="2:89" s="98" customFormat="1" ht="20" customHeight="1" x14ac:dyDescent="0.45">
      <c r="B5" s="154"/>
      <c r="D5" s="66" t="s">
        <v>11</v>
      </c>
      <c r="E5" s="66" t="s">
        <v>129</v>
      </c>
      <c r="F5" s="66" t="s">
        <v>165</v>
      </c>
      <c r="G5" s="66" t="s">
        <v>165</v>
      </c>
      <c r="H5" s="66" t="s">
        <v>119</v>
      </c>
      <c r="I5" s="66" t="s">
        <v>135</v>
      </c>
      <c r="J5" s="99"/>
      <c r="K5" s="66" t="s">
        <v>11</v>
      </c>
      <c r="L5" s="66" t="s">
        <v>129</v>
      </c>
      <c r="M5" s="66" t="s">
        <v>165</v>
      </c>
      <c r="N5" s="66" t="s">
        <v>165</v>
      </c>
      <c r="O5" s="66" t="s">
        <v>119</v>
      </c>
      <c r="P5" s="66" t="s">
        <v>135</v>
      </c>
      <c r="Q5" s="46"/>
      <c r="R5" s="66" t="s">
        <v>11</v>
      </c>
      <c r="S5" s="66" t="s">
        <v>129</v>
      </c>
      <c r="T5" s="66" t="s">
        <v>165</v>
      </c>
      <c r="U5" s="66" t="s">
        <v>165</v>
      </c>
      <c r="V5" s="66" t="s">
        <v>119</v>
      </c>
      <c r="W5" s="66" t="s">
        <v>135</v>
      </c>
      <c r="X5" s="99"/>
      <c r="Y5" s="66" t="s">
        <v>11</v>
      </c>
      <c r="Z5" s="66" t="s">
        <v>129</v>
      </c>
      <c r="AA5" s="66" t="s">
        <v>165</v>
      </c>
      <c r="AB5" s="66" t="s">
        <v>165</v>
      </c>
      <c r="AC5" s="66" t="s">
        <v>119</v>
      </c>
      <c r="AD5" s="66" t="s">
        <v>135</v>
      </c>
      <c r="AE5" s="99"/>
      <c r="AH5" s="99"/>
      <c r="CD5" s="67"/>
      <c r="CE5" s="67"/>
      <c r="CF5" s="67"/>
      <c r="CG5" s="67"/>
      <c r="CH5" s="67"/>
      <c r="CI5" s="67"/>
      <c r="CJ5" s="67"/>
      <c r="CK5" s="67"/>
    </row>
    <row r="6" spans="2:89" ht="20" customHeight="1" x14ac:dyDescent="0.45">
      <c r="B6" s="154"/>
      <c r="D6" s="21">
        <f>(E17-'Base &amp; Ref. Case Calcs.'!$AB6)/('Base &amp; Ref. Case Calcs.'!$T6-'Base &amp; Ref. Case Calcs.'!$T17)</f>
        <v>432.52856871223378</v>
      </c>
      <c r="E6" s="21">
        <f>'Base &amp; Ref. Case Calcs.'!$AB6+'Base &amp; Ref. Case Calcs.'!$T6*D6</f>
        <v>6570.0813850328541</v>
      </c>
      <c r="F6" s="28">
        <f>(0.5*('Base &amp; Ref. Case Calcs.'!$AB6-E6)*D6)*10^-6</f>
        <v>2.0284797802542052</v>
      </c>
      <c r="G6" s="28">
        <f>(E6*D6)*10^-6</f>
        <v>2.841747897791151</v>
      </c>
      <c r="H6" s="28">
        <f>D6*10^6/365/'Base &amp; Ref. Case Calcs.'!$K6</f>
        <v>0.4074859108331183</v>
      </c>
      <c r="I6" s="22">
        <f>H6/'Base &amp; Ref. Case Calcs.'!$AF6-1</f>
        <v>-3.0429475457792066E-2</v>
      </c>
      <c r="K6" s="85">
        <f>(L17-'Base &amp; Ref. Case Calcs.'!$AJ6)/('Base &amp; Ref. Case Calcs.'!$T6-'Base &amp; Ref. Case Calcs.'!$T17)</f>
        <v>434.45140492784566</v>
      </c>
      <c r="L6" s="85">
        <f>'Base &amp; Ref. Case Calcs.'!$AJ6+'Base &amp; Ref. Case Calcs.'!$T6*K6</f>
        <v>6854.7073961129645</v>
      </c>
      <c r="M6" s="86">
        <f>(0.5*('Base &amp; Ref. Case Calcs.'!$AJ6-L6)*K6)*10^-6</f>
        <v>2.0465553687575531</v>
      </c>
      <c r="N6" s="86">
        <f>(L6*K6)*10^-6</f>
        <v>2.9780372586105721</v>
      </c>
      <c r="O6" s="86">
        <f>K6*10^6/365/'Base &amp; Ref. Case Calcs.'!$L6</f>
        <v>0.45316295656747324</v>
      </c>
      <c r="P6" s="87">
        <f>O6/'Base &amp; Ref. Case Calcs.'!$AN6-1</f>
        <v>-3.8873782339324814E-2</v>
      </c>
      <c r="Q6" s="100"/>
      <c r="R6" s="85">
        <f>(S17-'Base &amp; Ref. Case Calcs.'!$AB6)/('Base &amp; Ref. Case Calcs.'!$T6-'Base &amp; Ref. Case Calcs.'!$T17)</f>
        <v>427.27739028825965</v>
      </c>
      <c r="S6" s="85">
        <f>'Base &amp; Ref. Case Calcs.'!$AB6+'Base &amp; Ref. Case Calcs.'!$T6*R6</f>
        <v>6683.9562454016741</v>
      </c>
      <c r="T6" s="86">
        <f>(0.5*('Base &amp; Ref. Case Calcs.'!$AB6-S6)*R6)*10^-6</f>
        <v>1.9795246384914751</v>
      </c>
      <c r="U6" s="86">
        <f>(S6*R6)*10^-6</f>
        <v>2.8559033813361419</v>
      </c>
      <c r="V6" s="86">
        <f>R6*10^6/365/'Base &amp; Ref. Case Calcs.'!$K6</f>
        <v>0.40253876657993953</v>
      </c>
      <c r="W6" s="87">
        <f>V6/'Base &amp; Ref. Case Calcs.'!$AF6-1</f>
        <v>-4.2200692869293954E-2</v>
      </c>
      <c r="Y6" s="85">
        <f>(Z17-'Base &amp; Ref. Case Calcs.'!$AJ6)/('Base &amp; Ref. Case Calcs.'!$T6-'Base &amp; Ref. Case Calcs.'!$T17)</f>
        <v>432.78983802354344</v>
      </c>
      <c r="Z6" s="85">
        <f>'Base &amp; Ref. Case Calcs.'!$AJ6+'Base &amp; Ref. Case Calcs.'!$T6*Y6</f>
        <v>6890.7394414833961</v>
      </c>
      <c r="AA6" s="88">
        <f>(0.5*('Base &amp; Ref. Case Calcs.'!$AJ6-Z6)*Y6)*10^-6</f>
        <v>2.0309311308509859</v>
      </c>
      <c r="AB6" s="86">
        <f>(Z6*Y6)*10^-6</f>
        <v>2.982242006742041</v>
      </c>
      <c r="AC6" s="86">
        <f>Y6*10^6/365/'Base &amp; Ref. Case Calcs.'!$L6</f>
        <v>0.45142982701063977</v>
      </c>
      <c r="AD6" s="87">
        <f>AC6/'Base &amp; Ref. Case Calcs.'!$AN6-1</f>
        <v>-4.2549626164452792E-2</v>
      </c>
      <c r="CD6" s="15"/>
      <c r="CE6" s="15"/>
      <c r="CF6" s="15"/>
      <c r="CG6" s="15"/>
      <c r="CH6" s="15"/>
      <c r="CI6" s="15"/>
      <c r="CJ6" s="15"/>
      <c r="CK6" s="15"/>
    </row>
    <row r="7" spans="2:89" ht="20" customHeight="1" x14ac:dyDescent="0.45">
      <c r="B7" s="154"/>
      <c r="D7" s="21">
        <f>(E18-'Base &amp; Ref. Case Calcs.'!$AB7)/('Base &amp; Ref. Case Calcs.'!$T7-'Base &amp; Ref. Case Calcs.'!$T18)</f>
        <v>173.53152011053766</v>
      </c>
      <c r="E7" s="21">
        <f>'Base &amp; Ref. Case Calcs.'!$AB7+'Base &amp; Ref. Case Calcs.'!$T7*D7</f>
        <v>3097.5489435442314</v>
      </c>
      <c r="F7" s="28">
        <f>(0.5*('Base &amp; Ref. Case Calcs.'!$AB7-E7)*D7)*10^-6</f>
        <v>0.48129261235504101</v>
      </c>
      <c r="G7" s="28">
        <f>(E7*D7)*10^-6</f>
        <v>0.53752237679002046</v>
      </c>
      <c r="H7" s="28">
        <f>D7*10^6/365/'Base &amp; Ref. Case Calcs.'!$K7</f>
        <v>0.1634843444931918</v>
      </c>
      <c r="I7" s="22">
        <f>H7/'Base &amp; Ref. Case Calcs.'!$AF7-1</f>
        <v>-1.2496325288300025E-2</v>
      </c>
      <c r="K7" s="85">
        <f>(L18-'Base &amp; Ref. Case Calcs.'!$AJ7)/('Base &amp; Ref. Case Calcs.'!$T7-'Base &amp; Ref. Case Calcs.'!$T18)</f>
        <v>178.88344112052306</v>
      </c>
      <c r="L7" s="85">
        <f>'Base &amp; Ref. Case Calcs.'!$AJ7+'Base &amp; Ref. Case Calcs.'!$T7*K7</f>
        <v>3256.9778065846485</v>
      </c>
      <c r="M7" s="86">
        <f>(0.5*('Base &amp; Ref. Case Calcs.'!$AJ7-L7)*K7)*10^-6</f>
        <v>0.51143769546692619</v>
      </c>
      <c r="N7" s="86">
        <f>(L7*K7)*10^-6</f>
        <v>0.58261939769503535</v>
      </c>
      <c r="O7" s="86">
        <f>K7*10^6/365/'Base &amp; Ref. Case Calcs.'!$L7</f>
        <v>0.18658783960568126</v>
      </c>
      <c r="P7" s="87">
        <f>O7/'Base &amp; Ref. Case Calcs.'!$AN7-1</f>
        <v>-1.4543377390196621E-2</v>
      </c>
      <c r="Q7" s="100"/>
      <c r="R7" s="85">
        <f>(S18-'Base &amp; Ref. Case Calcs.'!$AB7)/('Base &amp; Ref. Case Calcs.'!$T7-'Base &amp; Ref. Case Calcs.'!$T18)</f>
        <v>172.71105617260579</v>
      </c>
      <c r="S7" s="85">
        <f>'Base &amp; Ref. Case Calcs.'!$AB7+'Base &amp; Ref. Case Calcs.'!$T7*R7</f>
        <v>3123.775540730986</v>
      </c>
      <c r="T7" s="86">
        <f>(0.5*('Base &amp; Ref. Case Calcs.'!$AB7-S7)*R7)*10^-6</f>
        <v>0.47675223006649986</v>
      </c>
      <c r="U7" s="86">
        <f>(S7*R7)*10^-6</f>
        <v>0.53951057288580129</v>
      </c>
      <c r="V7" s="86">
        <f>R7*10^6/365/'Base &amp; Ref. Case Calcs.'!$K7</f>
        <v>0.16271138400170498</v>
      </c>
      <c r="W7" s="87">
        <f>V7/'Base &amp; Ref. Case Calcs.'!$AF7-1</f>
        <v>-1.716528198942302E-2</v>
      </c>
      <c r="Y7" s="85">
        <f>(Z18-'Base &amp; Ref. Case Calcs.'!$AJ7)/('Base &amp; Ref. Case Calcs.'!$T7-'Base &amp; Ref. Case Calcs.'!$T18)</f>
        <v>178.02436711492382</v>
      </c>
      <c r="Z7" s="85">
        <f>'Base &amp; Ref. Case Calcs.'!$AJ7+'Base &amp; Ref. Case Calcs.'!$T7*Y7</f>
        <v>3284.4385965801921</v>
      </c>
      <c r="AA7" s="86">
        <f>(0.5*('Base &amp; Ref. Case Calcs.'!$AJ7-Z7)*Y7)*10^-6</f>
        <v>0.50653721028206455</v>
      </c>
      <c r="AB7" s="86">
        <f>(Z7*Y7)*10^-6</f>
        <v>0.58471010248401722</v>
      </c>
      <c r="AC7" s="86">
        <f>Y7*10^6/365/'Base &amp; Ref. Case Calcs.'!$L7</f>
        <v>0.18569176581728533</v>
      </c>
      <c r="AD7" s="87">
        <f>AC7/'Base &amp; Ref. Case Calcs.'!$AN7-1</f>
        <v>-1.9275957235635466E-2</v>
      </c>
      <c r="CD7" s="15"/>
      <c r="CE7" s="15"/>
      <c r="CF7" s="15"/>
      <c r="CG7" s="15"/>
      <c r="CH7" s="15"/>
      <c r="CI7" s="15"/>
      <c r="CJ7" s="15"/>
      <c r="CK7" s="15"/>
    </row>
    <row r="8" spans="2:89" ht="20" customHeight="1" x14ac:dyDescent="0.45">
      <c r="B8" s="154"/>
      <c r="D8" s="21">
        <f>(E19-'Base &amp; Ref. Case Calcs.'!$AB8)/('Base &amp; Ref. Case Calcs.'!$T8-'Base &amp; Ref. Case Calcs.'!$T19)</f>
        <v>1104.7799940265591</v>
      </c>
      <c r="E8" s="21">
        <f>'Base &amp; Ref. Case Calcs.'!$AB8+'Base &amp; Ref. Case Calcs.'!$T8*D8</f>
        <v>3204.1530046549387</v>
      </c>
      <c r="F8" s="28">
        <f>(0.5*('Base &amp; Ref. Case Calcs.'!$AB8-E8)*D8)*10^-6</f>
        <v>2.4021613418018504</v>
      </c>
      <c r="G8" s="28">
        <f>(E8*D8)*10^-6</f>
        <v>3.5398841373428644</v>
      </c>
      <c r="H8" s="28">
        <f>D8*10^6/365/'Base &amp; Ref. Case Calcs.'!$K8</f>
        <v>1.0408151384692252</v>
      </c>
      <c r="I8" s="22">
        <f>H8/'Base &amp; Ref. Case Calcs.'!$AF8-1</f>
        <v>-4.2526599052466807E-2</v>
      </c>
      <c r="K8" s="85">
        <f>(L19-'Base &amp; Ref. Case Calcs.'!$AJ8)/('Base &amp; Ref. Case Calcs.'!$T8-'Base &amp; Ref. Case Calcs.'!$T19)</f>
        <v>1104.8827617275542</v>
      </c>
      <c r="L8" s="85">
        <f>'Base &amp; Ref. Case Calcs.'!$AJ8+'Base &amp; Ref. Case Calcs.'!$T8*K8</f>
        <v>3325.0994150390379</v>
      </c>
      <c r="M8" s="86">
        <f>(0.5*('Base &amp; Ref. Case Calcs.'!$AJ8-L8)*K8)*10^-6</f>
        <v>2.4026082653190088</v>
      </c>
      <c r="N8" s="86">
        <f>(L8*K8)*10^-6</f>
        <v>3.6738450247070071</v>
      </c>
      <c r="O8" s="86">
        <f>K8*10^6/365/'Base &amp; Ref. Case Calcs.'!$L8</f>
        <v>1.1524693746773571</v>
      </c>
      <c r="P8" s="87">
        <f>O8/'Base &amp; Ref. Case Calcs.'!$AN8-1</f>
        <v>-5.0759558725560927E-2</v>
      </c>
      <c r="Q8" s="100"/>
      <c r="R8" s="85">
        <f>(S19-'Base &amp; Ref. Case Calcs.'!$AB8)/('Base &amp; Ref. Case Calcs.'!$T8-'Base &amp; Ref. Case Calcs.'!$T19)</f>
        <v>1087.2702275533918</v>
      </c>
      <c r="S8" s="85">
        <f>'Base &amp; Ref. Case Calcs.'!$AB8+'Base &amp; Ref. Case Calcs.'!$T8*R8</f>
        <v>3273.0754885821007</v>
      </c>
      <c r="T8" s="86">
        <f>(0.5*('Base &amp; Ref. Case Calcs.'!$AB8-S8)*R8)*10^-6</f>
        <v>2.3266205687196626</v>
      </c>
      <c r="U8" s="86">
        <f>(S8*R8)*10^-6</f>
        <v>3.5587175312700894</v>
      </c>
      <c r="V8" s="86">
        <f>R8*10^6/365/'Base &amp; Ref. Case Calcs.'!$K8</f>
        <v>1.0243191572649391</v>
      </c>
      <c r="W8" s="87">
        <f>V8/'Base &amp; Ref. Case Calcs.'!$AF8-1</f>
        <v>-5.7701688885291702E-2</v>
      </c>
      <c r="Y8" s="85">
        <f>(Z19-'Base &amp; Ref. Case Calcs.'!$AJ8)/('Base &amp; Ref. Case Calcs.'!$T8-'Base &amp; Ref. Case Calcs.'!$T19)</f>
        <v>1085.2760172336484</v>
      </c>
      <c r="Z8" s="85">
        <f>'Base &amp; Ref. Case Calcs.'!$AJ8+'Base &amp; Ref. Case Calcs.'!$T8*Y8</f>
        <v>3402.2760886580763</v>
      </c>
      <c r="AA8" s="86">
        <f>(0.5*('Base &amp; Ref. Case Calcs.'!$AJ8-Z8)*Y8)*10^-6</f>
        <v>2.3180936806901289</v>
      </c>
      <c r="AB8" s="86">
        <f>(Z8*Y8)*10^-6</f>
        <v>3.6924086430281124</v>
      </c>
      <c r="AC8" s="86">
        <f>Y8*10^6/365/'Base &amp; Ref. Case Calcs.'!$L8</f>
        <v>1.1320181798998949</v>
      </c>
      <c r="AD8" s="87">
        <f>AC8/'Base &amp; Ref. Case Calcs.'!$AN8-1</f>
        <v>-6.760434573830254E-2</v>
      </c>
      <c r="CD8" s="15"/>
      <c r="CE8" s="15"/>
      <c r="CF8" s="15"/>
      <c r="CG8" s="15"/>
      <c r="CH8" s="15"/>
      <c r="CI8" s="15"/>
      <c r="CJ8" s="15"/>
      <c r="CK8" s="15"/>
    </row>
    <row r="9" spans="2:89" ht="20" customHeight="1" x14ac:dyDescent="0.45">
      <c r="B9" s="154"/>
      <c r="D9" s="21">
        <f>(E20-'Base &amp; Ref. Case Calcs.'!$AB9)/('Base &amp; Ref. Case Calcs.'!$T9-'Base &amp; Ref. Case Calcs.'!$T20)</f>
        <v>234.91442274821301</v>
      </c>
      <c r="E9" s="21">
        <f>'Base &amp; Ref. Case Calcs.'!$AB9+'Base &amp; Ref. Case Calcs.'!$T9*D9</f>
        <v>1492.703532211337</v>
      </c>
      <c r="F9" s="28">
        <f>(0.5*('Base &amp; Ref. Case Calcs.'!$AB9-E9)*D9)*10^-6</f>
        <v>0.24341941728855149</v>
      </c>
      <c r="G9" s="28">
        <f>(E9*D9)*10^-6</f>
        <v>0.35065758860364477</v>
      </c>
      <c r="H9" s="28">
        <f>D9*10^6/365/'Base &amp; Ref. Case Calcs.'!$K9</f>
        <v>0.22131328297317227</v>
      </c>
      <c r="I9" s="22">
        <f>H9/'Base &amp; Ref. Case Calcs.'!$AF9-1</f>
        <v>-3.6880779373656525E-2</v>
      </c>
      <c r="K9" s="85">
        <f>(L20-'Base &amp; Ref. Case Calcs.'!$AJ9)/('Base &amp; Ref. Case Calcs.'!$T9-'Base &amp; Ref. Case Calcs.'!$T20)</f>
        <v>235.58258157630002</v>
      </c>
      <c r="L9" s="85">
        <f>'Base &amp; Ref. Case Calcs.'!$AJ9+'Base &amp; Ref. Case Calcs.'!$T9*K9</f>
        <v>1551.8259874105734</v>
      </c>
      <c r="M9" s="86">
        <f>(0.5*('Base &amp; Ref. Case Calcs.'!$AJ9-L9)*K9)*10^-6</f>
        <v>0.24480608508295168</v>
      </c>
      <c r="N9" s="86">
        <f>(L9*K9)*10^-6</f>
        <v>0.36558317227137371</v>
      </c>
      <c r="O9" s="86">
        <f>K9*10^6/365/'Base &amp; Ref. Case Calcs.'!$L9</f>
        <v>0.24572897675551184</v>
      </c>
      <c r="P9" s="87">
        <f>O9/'Base &amp; Ref. Case Calcs.'!$AN9-1</f>
        <v>-4.4588407308657096E-2</v>
      </c>
      <c r="Q9" s="100"/>
      <c r="R9" s="85">
        <f>(S20-'Base &amp; Ref. Case Calcs.'!$AB9)/('Base &amp; Ref. Case Calcs.'!$T9-'Base &amp; Ref. Case Calcs.'!$T20)</f>
        <v>231.65028349538002</v>
      </c>
      <c r="S9" s="85">
        <f>'Base &amp; Ref. Case Calcs.'!$AB9+'Base &amp; Ref. Case Calcs.'!$T9*R9</f>
        <v>1521.4996889874276</v>
      </c>
      <c r="T9" s="86">
        <f>(0.5*('Base &amp; Ref. Case Calcs.'!$AB9-S9)*R9)*10^-6</f>
        <v>0.23670178207496087</v>
      </c>
      <c r="U9" s="86">
        <f>(S9*R9)*10^-6</f>
        <v>0.35245583429207011</v>
      </c>
      <c r="V9" s="86">
        <f>R9*10^6/365/'Base &amp; Ref. Case Calcs.'!$K9</f>
        <v>0.21823813175140008</v>
      </c>
      <c r="W9" s="87">
        <f>V9/'Base &amp; Ref. Case Calcs.'!$AF9-1</f>
        <v>-5.026333467369426E-2</v>
      </c>
      <c r="Y9" s="85">
        <f>(Z20-'Base &amp; Ref. Case Calcs.'!$AJ9)/('Base &amp; Ref. Case Calcs.'!$T9-'Base &amp; Ref. Case Calcs.'!$T20)</f>
        <v>232.48873009242573</v>
      </c>
      <c r="Z9" s="85">
        <f>'Base &amp; Ref. Case Calcs.'!$AJ9+'Base &amp; Ref. Case Calcs.'!$T9*Y9</f>
        <v>1579.119869647448</v>
      </c>
      <c r="AA9" s="86">
        <f>(0.5*('Base &amp; Ref. Case Calcs.'!$AJ9-Z9)*Y9)*10^-6</f>
        <v>0.23841834345337881</v>
      </c>
      <c r="AB9" s="86">
        <f>(Z9*Y9)*10^-6</f>
        <v>0.36712757315805206</v>
      </c>
      <c r="AC9" s="86">
        <f>Y9*10^6/365/'Base &amp; Ref. Case Calcs.'!$L9</f>
        <v>0.24250187501361284</v>
      </c>
      <c r="AD9" s="87">
        <f>AC9/'Base &amp; Ref. Case Calcs.'!$AN9-1</f>
        <v>-5.7135606486035218E-2</v>
      </c>
      <c r="CD9" s="15"/>
      <c r="CE9" s="15"/>
      <c r="CF9" s="15"/>
      <c r="CG9" s="15"/>
      <c r="CH9" s="15"/>
      <c r="CI9" s="15"/>
      <c r="CJ9" s="15"/>
      <c r="CK9" s="15"/>
    </row>
    <row r="10" spans="2:89" ht="20" customHeight="1" x14ac:dyDescent="0.45">
      <c r="B10" s="154"/>
      <c r="D10" s="21">
        <f>(E21-'Base &amp; Ref. Case Calcs.'!$AB10)/('Base &amp; Ref. Case Calcs.'!$T10-'Base &amp; Ref. Case Calcs.'!$T21)</f>
        <v>53.975180152411326</v>
      </c>
      <c r="E10" s="21">
        <f>'Base &amp; Ref. Case Calcs.'!$AB10+'Base &amp; Ref. Case Calcs.'!$T10*D10</f>
        <v>8351.2455827013473</v>
      </c>
      <c r="F10" s="28">
        <f>(0.5*('Base &amp; Ref. Case Calcs.'!$AB10-E10)*D10)*10^-6</f>
        <v>0.3266376701618367</v>
      </c>
      <c r="G10" s="28">
        <f>(E10*D10)*10^-6</f>
        <v>0.45075998482333446</v>
      </c>
      <c r="H10" s="28">
        <f>D10*10^6/365/'Base &amp; Ref. Case Calcs.'!$K10</f>
        <v>5.085011034593629E-2</v>
      </c>
      <c r="I10" s="22">
        <f>H10/'Base &amp; Ref. Case Calcs.'!$AF10-1</f>
        <v>0</v>
      </c>
      <c r="K10" s="85">
        <f>(L21-'Base &amp; Ref. Case Calcs.'!$AJ10)/('Base &amp; Ref. Case Calcs.'!$T10-'Base &amp; Ref. Case Calcs.'!$T21)</f>
        <v>55.816157466102851</v>
      </c>
      <c r="L10" s="85">
        <f>'Base &amp; Ref. Case Calcs.'!$AJ10+'Base &amp; Ref. Case Calcs.'!$T10*K10</f>
        <v>8636.0886089850283</v>
      </c>
      <c r="M10" s="86">
        <f>(0.5*('Base &amp; Ref. Case Calcs.'!$AJ10-L10)*K10)*10^-6</f>
        <v>0.34929947948574325</v>
      </c>
      <c r="N10" s="86">
        <f>(L10*K10)*10^-6</f>
        <v>0.48203328169032544</v>
      </c>
      <c r="O10" s="86">
        <f>K10*10^6/365/'Base &amp; Ref. Case Calcs.'!$L10</f>
        <v>5.8220124632294944E-2</v>
      </c>
      <c r="P10" s="87">
        <f>O10/'Base &amp; Ref. Case Calcs.'!$AN10-1</f>
        <v>0</v>
      </c>
      <c r="Q10" s="100"/>
      <c r="R10" s="85">
        <f>(S21-'Base &amp; Ref. Case Calcs.'!$AB10)/('Base &amp; Ref. Case Calcs.'!$T10-'Base &amp; Ref. Case Calcs.'!$T21)</f>
        <v>53.975180152411326</v>
      </c>
      <c r="S10" s="85">
        <f>'Base &amp; Ref. Case Calcs.'!$AB10+'Base &amp; Ref. Case Calcs.'!$T10*R10</f>
        <v>8351.2455827013473</v>
      </c>
      <c r="T10" s="86">
        <f>(0.5*('Base &amp; Ref. Case Calcs.'!$AB10-S10)*R10)*10^-6</f>
        <v>0.3266376701618367</v>
      </c>
      <c r="U10" s="86">
        <f>(S10*R10)*10^-6</f>
        <v>0.45075998482333446</v>
      </c>
      <c r="V10" s="86">
        <f>R10*10^6/365/'Base &amp; Ref. Case Calcs.'!$K10</f>
        <v>5.085011034593629E-2</v>
      </c>
      <c r="W10" s="87">
        <f>V10/'Base &amp; Ref. Case Calcs.'!$AF10-1</f>
        <v>0</v>
      </c>
      <c r="Y10" s="85">
        <f>(Z21-'Base &amp; Ref. Case Calcs.'!$AJ10)/('Base &amp; Ref. Case Calcs.'!$T10-'Base &amp; Ref. Case Calcs.'!$T21)</f>
        <v>55.816157466102851</v>
      </c>
      <c r="Z10" s="85">
        <f>'Base &amp; Ref. Case Calcs.'!$AJ10+'Base &amp; Ref. Case Calcs.'!$T10*Y10</f>
        <v>8636.0886089850283</v>
      </c>
      <c r="AA10" s="86">
        <f>(0.5*('Base &amp; Ref. Case Calcs.'!$AJ10-Z10)*Y10)*10^-6</f>
        <v>0.34929947948574325</v>
      </c>
      <c r="AB10" s="86">
        <f>(Z10*Y10)*10^-6</f>
        <v>0.48203328169032544</v>
      </c>
      <c r="AC10" s="86">
        <f>Y10*10^6/365/'Base &amp; Ref. Case Calcs.'!$L10</f>
        <v>5.8220124632294944E-2</v>
      </c>
      <c r="AD10" s="87">
        <f>AC10/'Base &amp; Ref. Case Calcs.'!$AN10-1</f>
        <v>0</v>
      </c>
      <c r="CD10" s="15"/>
      <c r="CE10" s="15"/>
      <c r="CF10" s="15"/>
      <c r="CG10" s="15"/>
      <c r="CH10" s="15"/>
      <c r="CI10" s="15"/>
      <c r="CJ10" s="15"/>
      <c r="CK10" s="15"/>
    </row>
    <row r="11" spans="2:89" ht="20" customHeight="1" x14ac:dyDescent="0.45">
      <c r="B11" s="154"/>
      <c r="D11" s="30">
        <f>SUM(D6:D10)</f>
        <v>1999.7296857499546</v>
      </c>
      <c r="E11" s="21">
        <f>(G11*10^6)/D11</f>
        <v>3860.8078083591508</v>
      </c>
      <c r="F11" s="32">
        <f>SUM(F6:F10)</f>
        <v>5.4819908218614852</v>
      </c>
      <c r="G11" s="32">
        <f>SUM(G6:G10)</f>
        <v>7.7205719853510155</v>
      </c>
      <c r="H11" s="32">
        <f>SUM(H6:H10)</f>
        <v>1.8839487871146439</v>
      </c>
      <c r="I11" s="33">
        <f>H11/'Base &amp; Ref. Case Calcs.'!$AF11-1</f>
        <v>-3.5608001551968194E-2</v>
      </c>
      <c r="K11" s="89">
        <f>SUM(K6:K10)</f>
        <v>2009.6163468183258</v>
      </c>
      <c r="L11" s="85">
        <f>(N11*10^6)/K11</f>
        <v>4021.7219310392866</v>
      </c>
      <c r="M11" s="90">
        <f>SUM(M6:M10)</f>
        <v>5.5547068941121829</v>
      </c>
      <c r="N11" s="90">
        <f>SUM(N6:N10)</f>
        <v>8.0821181349743139</v>
      </c>
      <c r="O11" s="90">
        <f>SUM(O6:O10)</f>
        <v>2.0961692722383187</v>
      </c>
      <c r="P11" s="91">
        <f>O11/'Base &amp; Ref. Case Calcs.'!$AN11-1</f>
        <v>-4.2996540961082297E-2</v>
      </c>
      <c r="Q11" s="101"/>
      <c r="R11" s="89">
        <f>SUM(R6:R10)</f>
        <v>1972.8841376620489</v>
      </c>
      <c r="S11" s="85">
        <f>(U11*10^6)/R11</f>
        <v>3931.9832100227745</v>
      </c>
      <c r="T11" s="90">
        <f>SUM(T6:T10)</f>
        <v>5.3462368895144357</v>
      </c>
      <c r="U11" s="90">
        <f>SUM(U6:U10)</f>
        <v>7.7573473046074373</v>
      </c>
      <c r="V11" s="90">
        <f>SUM(V6:V10)</f>
        <v>1.85865754994392</v>
      </c>
      <c r="W11" s="91">
        <f>V11/'Base &amp; Ref. Case Calcs.'!$AF11-1</f>
        <v>-4.8554567257532266E-2</v>
      </c>
      <c r="Y11" s="89">
        <f>SUM(Y6:Y10)</f>
        <v>1984.3951099306444</v>
      </c>
      <c r="Z11" s="85">
        <f>(AB11*10^6)/Y11</f>
        <v>4086.1427074298449</v>
      </c>
      <c r="AA11" s="90">
        <f>SUM(AA6:AA10)</f>
        <v>5.4432798447623005</v>
      </c>
      <c r="AB11" s="90">
        <f>SUM(AB6:AB10)</f>
        <v>8.1085216071025474</v>
      </c>
      <c r="AC11" s="90">
        <f>SUM(AC6:AC10)</f>
        <v>2.069861772373728</v>
      </c>
      <c r="AD11" s="91">
        <f>AC11/'Base &amp; Ref. Case Calcs.'!$AN11-1</f>
        <v>-5.5007197114912532E-2</v>
      </c>
      <c r="CD11" s="15"/>
      <c r="CE11" s="15"/>
      <c r="CF11" s="15"/>
      <c r="CG11" s="15"/>
      <c r="CH11" s="15"/>
      <c r="CI11" s="15"/>
      <c r="CJ11" s="15"/>
      <c r="CK11" s="15"/>
    </row>
    <row r="12" spans="2:89" ht="5" customHeight="1" x14ac:dyDescent="0.45">
      <c r="D12" s="92"/>
      <c r="E12" s="92"/>
      <c r="F12" s="92"/>
      <c r="G12" s="92"/>
      <c r="H12" s="92"/>
      <c r="I12" s="92"/>
      <c r="M12" s="92"/>
      <c r="N12" s="92"/>
      <c r="O12" s="92"/>
      <c r="P12" s="92"/>
      <c r="Q12" s="102"/>
      <c r="R12" s="92"/>
      <c r="S12" s="92"/>
      <c r="T12" s="92"/>
      <c r="U12" s="92"/>
      <c r="V12" s="92"/>
      <c r="W12" s="92"/>
      <c r="Y12" s="92"/>
      <c r="Z12" s="92"/>
      <c r="AA12" s="92"/>
      <c r="AB12" s="92"/>
      <c r="AC12" s="92"/>
      <c r="AD12" s="92"/>
      <c r="AF12" s="92"/>
      <c r="AG12" s="92"/>
      <c r="CD12" s="15"/>
      <c r="CE12" s="15"/>
      <c r="CF12" s="15"/>
      <c r="CG12" s="15"/>
      <c r="CH12" s="15"/>
      <c r="CI12" s="15"/>
      <c r="CJ12" s="15"/>
      <c r="CK12" s="15"/>
    </row>
    <row r="13" spans="2:89" ht="30" customHeight="1" x14ac:dyDescent="0.45">
      <c r="D13" s="155" t="s">
        <v>131</v>
      </c>
      <c r="E13" s="155"/>
      <c r="F13" s="155"/>
      <c r="G13" s="155"/>
      <c r="H13" s="155"/>
      <c r="I13" s="155"/>
      <c r="K13" s="155" t="s">
        <v>133</v>
      </c>
      <c r="L13" s="155"/>
      <c r="M13" s="155"/>
      <c r="N13" s="155"/>
      <c r="O13" s="155"/>
      <c r="P13" s="155"/>
      <c r="R13" s="155" t="s">
        <v>142</v>
      </c>
      <c r="S13" s="155"/>
      <c r="T13" s="155"/>
      <c r="U13" s="155"/>
      <c r="V13" s="155"/>
      <c r="W13" s="155"/>
      <c r="Y13" s="155" t="s">
        <v>143</v>
      </c>
      <c r="Z13" s="155"/>
      <c r="AA13" s="155"/>
      <c r="AB13" s="155"/>
      <c r="AC13" s="155"/>
      <c r="AD13" s="155"/>
      <c r="AF13" s="15"/>
      <c r="AG13" s="15"/>
      <c r="CD13" s="15"/>
      <c r="CE13" s="15"/>
      <c r="CF13" s="15"/>
      <c r="CG13" s="15"/>
      <c r="CH13" s="15"/>
      <c r="CI13" s="15"/>
      <c r="CJ13" s="15"/>
      <c r="CK13" s="15"/>
    </row>
    <row r="14" spans="2:89" ht="5" customHeight="1" x14ac:dyDescent="0.45">
      <c r="D14" s="15"/>
      <c r="E14" s="15"/>
      <c r="F14" s="15"/>
      <c r="G14" s="15"/>
      <c r="H14" s="15"/>
      <c r="I14" s="15"/>
      <c r="M14" s="15"/>
      <c r="N14" s="15"/>
      <c r="O14" s="15"/>
      <c r="P14" s="15"/>
      <c r="R14" s="15"/>
      <c r="S14" s="15"/>
      <c r="T14" s="15"/>
      <c r="U14" s="15"/>
      <c r="V14" s="15"/>
      <c r="W14" s="15"/>
      <c r="Y14" s="15"/>
      <c r="Z14" s="15"/>
      <c r="AA14" s="15"/>
      <c r="AB14" s="15"/>
      <c r="AC14" s="15"/>
      <c r="AD14" s="15"/>
      <c r="AF14" s="15"/>
      <c r="AG14" s="15"/>
      <c r="CD14" s="15"/>
      <c r="CE14" s="15"/>
      <c r="CF14" s="15"/>
      <c r="CG14" s="15"/>
      <c r="CH14" s="15"/>
      <c r="CI14" s="15"/>
      <c r="CJ14" s="15"/>
      <c r="CK14" s="15"/>
    </row>
    <row r="15" spans="2:89" s="83" customFormat="1" ht="60" customHeight="1" x14ac:dyDescent="0.45">
      <c r="B15" s="154" t="s">
        <v>138</v>
      </c>
      <c r="D15" s="59" t="s">
        <v>120</v>
      </c>
      <c r="E15" s="59" t="s">
        <v>132</v>
      </c>
      <c r="F15" s="59" t="s">
        <v>136</v>
      </c>
      <c r="G15" s="59" t="s">
        <v>124</v>
      </c>
      <c r="H15" s="59" t="s">
        <v>127</v>
      </c>
      <c r="I15" s="59" t="s">
        <v>128</v>
      </c>
      <c r="K15" s="59" t="s">
        <v>120</v>
      </c>
      <c r="L15" s="59" t="s">
        <v>132</v>
      </c>
      <c r="M15" s="59" t="s">
        <v>136</v>
      </c>
      <c r="N15" s="59" t="s">
        <v>124</v>
      </c>
      <c r="O15" s="59" t="s">
        <v>127</v>
      </c>
      <c r="P15" s="59" t="s">
        <v>128</v>
      </c>
      <c r="Q15" s="103"/>
      <c r="R15" s="59" t="s">
        <v>120</v>
      </c>
      <c r="S15" s="59" t="s">
        <v>132</v>
      </c>
      <c r="T15" s="59" t="s">
        <v>136</v>
      </c>
      <c r="U15" s="59" t="s">
        <v>124</v>
      </c>
      <c r="V15" s="59" t="s">
        <v>127</v>
      </c>
      <c r="W15" s="59" t="s">
        <v>128</v>
      </c>
      <c r="Y15" s="59" t="s">
        <v>120</v>
      </c>
      <c r="Z15" s="59" t="s">
        <v>132</v>
      </c>
      <c r="AA15" s="59" t="s">
        <v>136</v>
      </c>
      <c r="AB15" s="59" t="s">
        <v>124</v>
      </c>
      <c r="AC15" s="59" t="s">
        <v>127</v>
      </c>
      <c r="AD15" s="59" t="s">
        <v>128</v>
      </c>
      <c r="CD15" s="60"/>
      <c r="CE15" s="60"/>
      <c r="CF15" s="60"/>
      <c r="CG15" s="60"/>
      <c r="CH15" s="60"/>
      <c r="CI15" s="60"/>
      <c r="CJ15" s="60"/>
      <c r="CK15" s="60"/>
    </row>
    <row r="16" spans="2:89" s="19" customFormat="1" ht="20" customHeight="1" x14ac:dyDescent="0.45">
      <c r="B16" s="154"/>
      <c r="D16" s="59" t="s">
        <v>135</v>
      </c>
      <c r="E16" s="66" t="s">
        <v>11</v>
      </c>
      <c r="F16" s="66" t="s">
        <v>11</v>
      </c>
      <c r="G16" s="66" t="s">
        <v>129</v>
      </c>
      <c r="H16" s="66" t="s">
        <v>165</v>
      </c>
      <c r="I16" s="66" t="s">
        <v>165</v>
      </c>
      <c r="J16" s="84"/>
      <c r="K16" s="59" t="s">
        <v>135</v>
      </c>
      <c r="L16" s="66" t="s">
        <v>11</v>
      </c>
      <c r="M16" s="66" t="s">
        <v>11</v>
      </c>
      <c r="N16" s="66" t="s">
        <v>129</v>
      </c>
      <c r="O16" s="66" t="s">
        <v>165</v>
      </c>
      <c r="P16" s="66" t="s">
        <v>165</v>
      </c>
      <c r="Q16" s="103"/>
      <c r="R16" s="59" t="s">
        <v>135</v>
      </c>
      <c r="S16" s="66" t="s">
        <v>11</v>
      </c>
      <c r="T16" s="66" t="s">
        <v>11</v>
      </c>
      <c r="U16" s="66" t="s">
        <v>129</v>
      </c>
      <c r="V16" s="66" t="s">
        <v>165</v>
      </c>
      <c r="W16" s="66" t="s">
        <v>165</v>
      </c>
      <c r="X16" s="84"/>
      <c r="Y16" s="59" t="s">
        <v>135</v>
      </c>
      <c r="Z16" s="66" t="s">
        <v>11</v>
      </c>
      <c r="AA16" s="66" t="s">
        <v>11</v>
      </c>
      <c r="AB16" s="66" t="s">
        <v>129</v>
      </c>
      <c r="AC16" s="66" t="s">
        <v>165</v>
      </c>
      <c r="AD16" s="66" t="s">
        <v>165</v>
      </c>
      <c r="AE16" s="84"/>
      <c r="AF16" s="84"/>
      <c r="AG16" s="84"/>
      <c r="AH16" s="84"/>
      <c r="CD16" s="60"/>
      <c r="CE16" s="60"/>
      <c r="CF16" s="60"/>
      <c r="CG16" s="60"/>
      <c r="CH16" s="60"/>
      <c r="CI16" s="60"/>
      <c r="CJ16" s="60"/>
      <c r="CK16" s="60"/>
    </row>
    <row r="17" spans="2:89" ht="20" customHeight="1" x14ac:dyDescent="0.45">
      <c r="B17" s="154"/>
      <c r="D17" s="93">
        <f>'Climate Impact Inputs'!C11</f>
        <v>-8.6599999999999996E-2</v>
      </c>
      <c r="E17" s="85">
        <f>'Base &amp; Ref. Case Calcs.'!$U17*(1+D17)</f>
        <v>-7892.2334792931779</v>
      </c>
      <c r="F17" s="85">
        <f>(E17-'Base &amp; Ref. Case Calcs.'!$AB6)/('Base &amp; Ref. Case Calcs.'!$T6-'Base &amp; Ref. Case Calcs.'!$T17)</f>
        <v>432.52856871223378</v>
      </c>
      <c r="G17" s="85">
        <f>E17+'Base &amp; Ref. Case Calcs.'!$T17*F17</f>
        <v>6570.0813850328523</v>
      </c>
      <c r="H17" s="86">
        <f>((G17*F17)-((F17-((E17*-1)/'Base &amp; Ref. Case Calcs.'!$T17))*G17)*0.5)*10^-6</f>
        <v>2.1962594286426822</v>
      </c>
      <c r="I17" s="86">
        <f>(G17*F17)*10^-6</f>
        <v>2.8417478977911501</v>
      </c>
      <c r="K17" s="93">
        <f>'Climate Impact Inputs'!D11</f>
        <v>-0.11210000000000001</v>
      </c>
      <c r="L17" s="85">
        <f>'Base &amp; Ref. Case Calcs.'!$U17*(1+K17)</f>
        <v>-7671.9007075371283</v>
      </c>
      <c r="M17" s="85">
        <f>(L17-'Base &amp; Ref. Case Calcs.'!$AJ6)/('Base &amp; Ref. Case Calcs.'!$T6-'Base &amp; Ref. Case Calcs.'!$T17)</f>
        <v>434.45140492784566</v>
      </c>
      <c r="N17" s="85">
        <f>L17+'Base &amp; Ref. Case Calcs.'!$T17*M17</f>
        <v>6854.7073961129609</v>
      </c>
      <c r="O17" s="86">
        <f>((N17*M17)-((M17-((L17*-1)/'Base &amp; Ref. Case Calcs.'!$T17))*N17)*0.5)*10^-6</f>
        <v>2.2754102627956097</v>
      </c>
      <c r="P17" s="86">
        <f>(N17*M17)*10^-6</f>
        <v>2.9780372586105703</v>
      </c>
      <c r="Q17" s="104"/>
      <c r="R17" s="93">
        <f>'Climate Impact Inputs'!E11</f>
        <v>-0.1201</v>
      </c>
      <c r="S17" s="85">
        <f>'Base &amp; Ref. Case Calcs.'!$U17*(1+R17)</f>
        <v>-7602.7767007117</v>
      </c>
      <c r="T17" s="85">
        <f>(S17-'Base &amp; Ref. Case Calcs.'!$AB6)/('Base &amp; Ref. Case Calcs.'!$T6-'Base &amp; Ref. Case Calcs.'!$T17)</f>
        <v>427.27739028825965</v>
      </c>
      <c r="U17" s="85">
        <f>S17+'Base &amp; Ref. Case Calcs.'!$T17*T17</f>
        <v>6683.9562454016741</v>
      </c>
      <c r="V17" s="86">
        <f>((U17*T17)-((T17-((S17*-1)/'Base &amp; Ref. Case Calcs.'!$T17))*U17)*0.5)*10^-6</f>
        <v>2.1878453545659822</v>
      </c>
      <c r="W17" s="86">
        <f>(U17*T17)*10^-6</f>
        <v>2.8559033813361419</v>
      </c>
      <c r="Y17" s="93">
        <f>'Climate Impact Inputs'!F11</f>
        <v>-0.1227</v>
      </c>
      <c r="Z17" s="85">
        <f>'Base &amp; Ref. Case Calcs.'!$U17*(1+Y17)</f>
        <v>-7580.3113984934362</v>
      </c>
      <c r="AA17" s="85">
        <f>(Z17-'Base &amp; Ref. Case Calcs.'!$AJ6)/('Base &amp; Ref. Case Calcs.'!$T6-'Base &amp; Ref. Case Calcs.'!$T17)</f>
        <v>432.78983802354344</v>
      </c>
      <c r="AB17" s="85">
        <f>Z17+'Base &amp; Ref. Case Calcs.'!$T17*AA17</f>
        <v>6890.7394414833952</v>
      </c>
      <c r="AC17" s="86">
        <f>((AB17*AA17)-((AA17-((Z17*-1)/'Base &amp; Ref. Case Calcs.'!$T17))*AB17)*0.5)*10^-6</f>
        <v>2.2722088223123298</v>
      </c>
      <c r="AD17" s="86">
        <f>(AB17*AA17)*10^-6</f>
        <v>2.9822420067420405</v>
      </c>
      <c r="AF17" s="7"/>
      <c r="AG17" s="7"/>
      <c r="CD17" s="15"/>
      <c r="CE17" s="15"/>
      <c r="CF17" s="15"/>
      <c r="CG17" s="15"/>
      <c r="CH17" s="15"/>
      <c r="CI17" s="15"/>
      <c r="CJ17" s="15"/>
      <c r="CK17" s="15"/>
    </row>
    <row r="18" spans="2:89" ht="20" customHeight="1" x14ac:dyDescent="0.45">
      <c r="B18" s="154"/>
      <c r="D18" s="93">
        <f>'Climate Impact Inputs'!C12</f>
        <v>-9.0999999999999998E-2</v>
      </c>
      <c r="E18" s="85">
        <f>'Base &amp; Ref. Case Calcs.'!$U18*(1+D18)</f>
        <v>-1250.8356749472039</v>
      </c>
      <c r="F18" s="85">
        <f>(E18-'Base &amp; Ref. Case Calcs.'!$AB7)/('Base &amp; Ref. Case Calcs.'!$T7-'Base &amp; Ref. Case Calcs.'!$T18)</f>
        <v>173.53152011053766</v>
      </c>
      <c r="G18" s="85">
        <f>E18+'Base &amp; Ref. Case Calcs.'!$T18*F18</f>
        <v>3097.5489435442305</v>
      </c>
      <c r="H18" s="86">
        <f>((G18*F18)-((F18-((E18*-1)/'Base &amp; Ref. Case Calcs.'!$T18))*G18)*0.5)*10^-6</f>
        <v>0.34607175587703587</v>
      </c>
      <c r="I18" s="86">
        <f>(G18*F18)*10^-6</f>
        <v>0.53752237679002024</v>
      </c>
      <c r="K18" s="93">
        <f>'Climate Impact Inputs'!D12</f>
        <v>-0.1094</v>
      </c>
      <c r="L18" s="85">
        <f>'Base &amp; Ref. Case Calcs.'!$U18*(1+K18)</f>
        <v>-1225.5162289416719</v>
      </c>
      <c r="M18" s="85">
        <f>(L18-'Base &amp; Ref. Case Calcs.'!$AJ7)/('Base &amp; Ref. Case Calcs.'!$T7-'Base &amp; Ref. Case Calcs.'!$T18)</f>
        <v>178.88344112052306</v>
      </c>
      <c r="N18" s="85">
        <f>L18+'Base &amp; Ref. Case Calcs.'!$T18*M18</f>
        <v>3256.9778065846485</v>
      </c>
      <c r="O18" s="86">
        <f>((N18*M18)-((M18-((L18*-1)/'Base &amp; Ref. Case Calcs.'!$T18))*N18)*0.5)*10^-6</f>
        <v>0.37095392386070847</v>
      </c>
      <c r="P18" s="86">
        <f>(N18*M18)*10^-6</f>
        <v>0.58261939769503535</v>
      </c>
      <c r="Q18" s="104"/>
      <c r="R18" s="93">
        <f>'Climate Impact Inputs'!E12</f>
        <v>-0.125</v>
      </c>
      <c r="S18" s="85">
        <f>'Base &amp; Ref. Case Calcs.'!$U18*(1+R18)</f>
        <v>-1204.0497421108948</v>
      </c>
      <c r="T18" s="85">
        <f>(S18-'Base &amp; Ref. Case Calcs.'!$AB7)/('Base &amp; Ref. Case Calcs.'!$T7-'Base &amp; Ref. Case Calcs.'!$T18)</f>
        <v>172.71105617260579</v>
      </c>
      <c r="U18" s="85">
        <f>S18+'Base &amp; Ref. Case Calcs.'!$T18*T18</f>
        <v>3123.7755407309869</v>
      </c>
      <c r="V18" s="86">
        <f>((U18*T18)-((T18-((S18*-1)/'Base &amp; Ref. Case Calcs.'!$T18))*U18)*0.5)*10^-6</f>
        <v>0.34480424564241469</v>
      </c>
      <c r="W18" s="86">
        <f>(U18*T18)*10^-6</f>
        <v>0.53951057288580151</v>
      </c>
      <c r="Y18" s="93">
        <f>'Climate Impact Inputs'!F12</f>
        <v>-0.14499999999999999</v>
      </c>
      <c r="Z18" s="85">
        <f>'Base &amp; Ref. Case Calcs.'!$U18*(1+Y18)</f>
        <v>-1176.5286051483599</v>
      </c>
      <c r="AA18" s="85">
        <f>(Z18-'Base &amp; Ref. Case Calcs.'!$AJ7)/('Base &amp; Ref. Case Calcs.'!$T7-'Base &amp; Ref. Case Calcs.'!$T18)</f>
        <v>178.02436711492382</v>
      </c>
      <c r="AB18" s="85">
        <f>Z18+'Base &amp; Ref. Case Calcs.'!$T18*AA18</f>
        <v>3284.4385965801921</v>
      </c>
      <c r="AC18" s="86">
        <f>((AB18*AA18)-((AA18-((Z18*-1)/'Base &amp; Ref. Case Calcs.'!$T18))*AB18)*0.5)*10^-6</f>
        <v>0.36946032126339712</v>
      </c>
      <c r="AD18" s="86">
        <f>(AB18*AA18)*10^-6</f>
        <v>0.58471010248401722</v>
      </c>
      <c r="AF18" s="7"/>
      <c r="AG18" s="7"/>
      <c r="CD18" s="15"/>
      <c r="CE18" s="15"/>
      <c r="CF18" s="15"/>
      <c r="CG18" s="15"/>
      <c r="CH18" s="15"/>
      <c r="CI18" s="15"/>
      <c r="CJ18" s="15"/>
      <c r="CK18" s="15"/>
    </row>
    <row r="19" spans="2:89" ht="20" customHeight="1" x14ac:dyDescent="0.45">
      <c r="B19" s="154"/>
      <c r="D19" s="93">
        <f>'Climate Impact Inputs'!C13</f>
        <v>-9.3600000000000003E-2</v>
      </c>
      <c r="E19" s="85">
        <f>'Base &amp; Ref. Case Calcs.'!$U19*(1+D19)</f>
        <v>-5700.2647898790083</v>
      </c>
      <c r="F19" s="85">
        <f>(E19-'Base &amp; Ref. Case Calcs.'!$AB8)/('Base &amp; Ref. Case Calcs.'!$T8-'Base &amp; Ref. Case Calcs.'!$T19)</f>
        <v>1104.7799940265591</v>
      </c>
      <c r="G19" s="85">
        <f>E19+'Base &amp; Ref. Case Calcs.'!$T19*F19</f>
        <v>3204.1530046549387</v>
      </c>
      <c r="H19" s="86">
        <f>((G19*F19)-((F19-((E19*-1)/'Base &amp; Ref. Case Calcs.'!$T19))*G19)*0.5)*10^-6</f>
        <v>2.9029907066594975</v>
      </c>
      <c r="I19" s="86">
        <f>(G19*F19)*10^-6</f>
        <v>3.5398841373428644</v>
      </c>
      <c r="K19" s="93">
        <f>'Climate Impact Inputs'!D13</f>
        <v>-0.11269999999999999</v>
      </c>
      <c r="L19" s="85">
        <f>'Base &amp; Ref. Case Calcs.'!$U19*(1+K19)</f>
        <v>-5580.1466770296156</v>
      </c>
      <c r="M19" s="85">
        <f>(L19-'Base &amp; Ref. Case Calcs.'!$AJ8)/('Base &amp; Ref. Case Calcs.'!$T8-'Base &amp; Ref. Case Calcs.'!$T19)</f>
        <v>1104.8827617275542</v>
      </c>
      <c r="N19" s="85">
        <f>L19+'Base &amp; Ref. Case Calcs.'!$T19*M19</f>
        <v>3325.0994150390379</v>
      </c>
      <c r="O19" s="86">
        <f>((N19*M19)-((M19-((L19*-1)/'Base &amp; Ref. Case Calcs.'!$T19))*N19)*0.5)*10^-6</f>
        <v>2.987962803356758</v>
      </c>
      <c r="P19" s="86">
        <f>(N19*M19)*10^-6</f>
        <v>3.6738450247070071</v>
      </c>
      <c r="Q19" s="104"/>
      <c r="R19" s="93">
        <f>'Climate Impact Inputs'!E13</f>
        <v>-0.127</v>
      </c>
      <c r="S19" s="85">
        <f>'Base &amp; Ref. Case Calcs.'!$U19*(1+R19)</f>
        <v>-5490.2153150533695</v>
      </c>
      <c r="T19" s="85">
        <f>(S19-'Base &amp; Ref. Case Calcs.'!$AB8)/('Base &amp; Ref. Case Calcs.'!$T8-'Base &amp; Ref. Case Calcs.'!$T19)</f>
        <v>1087.2702275533918</v>
      </c>
      <c r="U19" s="85">
        <f>S19+'Base &amp; Ref. Case Calcs.'!$T19*T19</f>
        <v>3273.0754885821016</v>
      </c>
      <c r="V19" s="86">
        <f>((U19*T19)-((T19-((S19*-1)/'Base &amp; Ref. Case Calcs.'!$T19))*U19)*0.5)*10^-6</f>
        <v>2.8941297991389505</v>
      </c>
      <c r="W19" s="86">
        <f>(U19*T19)*10^-6</f>
        <v>3.5587175312700903</v>
      </c>
      <c r="Y19" s="93">
        <f>'Climate Impact Inputs'!F13</f>
        <v>-0.15010000000000001</v>
      </c>
      <c r="Z19" s="85">
        <f>'Base &amp; Ref. Case Calcs.'!$U19*(1+Y19)</f>
        <v>-5344.9415764763562</v>
      </c>
      <c r="AA19" s="85">
        <f>(Z19-'Base &amp; Ref. Case Calcs.'!$AJ8)/('Base &amp; Ref. Case Calcs.'!$T8-'Base &amp; Ref. Case Calcs.'!$T19)</f>
        <v>1085.2760172336484</v>
      </c>
      <c r="AB19" s="85">
        <f>Z19+'Base &amp; Ref. Case Calcs.'!$T19*AA19</f>
        <v>3402.2760886580763</v>
      </c>
      <c r="AC19" s="86">
        <f>((AB19*AA19)-((AA19-((Z19*-1)/'Base &amp; Ref. Case Calcs.'!$T19))*AB19)*0.5)*10^-6</f>
        <v>2.9743178102252288</v>
      </c>
      <c r="AD19" s="86">
        <f>(AB19*AA19)*10^-6</f>
        <v>3.6924086430281124</v>
      </c>
      <c r="AF19" s="7"/>
      <c r="AG19" s="7"/>
      <c r="CD19" s="15"/>
      <c r="CE19" s="15"/>
      <c r="CF19" s="15"/>
      <c r="CG19" s="15"/>
      <c r="CH19" s="15"/>
      <c r="CI19" s="15"/>
      <c r="CJ19" s="15"/>
      <c r="CK19" s="15"/>
    </row>
    <row r="20" spans="2:89" ht="20" customHeight="1" x14ac:dyDescent="0.45">
      <c r="B20" s="154"/>
      <c r="D20" s="93">
        <f>'Climate Impact Inputs'!C14</f>
        <v>-9.2105391334976056E-2</v>
      </c>
      <c r="E20" s="85">
        <f>'Base &amp; Ref. Case Calcs.'!$U20*(1+D20)</f>
        <v>-2161.6039921384477</v>
      </c>
      <c r="F20" s="85">
        <f>(E20-'Base &amp; Ref. Case Calcs.'!$AB9)/('Base &amp; Ref. Case Calcs.'!$T9-'Base &amp; Ref. Case Calcs.'!$T20)</f>
        <v>234.91442274821301</v>
      </c>
      <c r="G20" s="85">
        <f>E20+'Base &amp; Ref. Case Calcs.'!$T20*F20</f>
        <v>1492.7035322113366</v>
      </c>
      <c r="H20" s="86">
        <f>((G20*F20)-((F20-((E20*-1)/'Base &amp; Ref. Case Calcs.'!$T20))*G20)*0.5)*10^-6</f>
        <v>0.27903966679252068</v>
      </c>
      <c r="I20" s="86">
        <f>(G20*F20)*10^-6</f>
        <v>0.35065758860364465</v>
      </c>
      <c r="K20" s="93">
        <f>'Climate Impact Inputs'!D14</f>
        <v>-0.11257189068585509</v>
      </c>
      <c r="L20" s="85">
        <f>'Base &amp; Ref. Case Calcs.'!$U20*(1+K20)</f>
        <v>-2112.8753552683484</v>
      </c>
      <c r="M20" s="85">
        <f>(L20-'Base &amp; Ref. Case Calcs.'!$AJ9)/('Base &amp; Ref. Case Calcs.'!$T9-'Base &amp; Ref. Case Calcs.'!$T20)</f>
        <v>235.58258157630002</v>
      </c>
      <c r="N20" s="85">
        <f>L20+'Base &amp; Ref. Case Calcs.'!$T20*M20</f>
        <v>1551.8259874105734</v>
      </c>
      <c r="O20" s="86">
        <f>((N20*M20)-((M20-((L20*-1)/'Base &amp; Ref. Case Calcs.'!$T20))*N20)*0.5)*10^-6</f>
        <v>0.28817966592234084</v>
      </c>
      <c r="P20" s="86">
        <f>(N20*M20)*10^-6</f>
        <v>0.36558317227137371</v>
      </c>
      <c r="Q20" s="104"/>
      <c r="R20" s="93">
        <f>'Climate Impact Inputs'!E14</f>
        <v>-0.12552674288733354</v>
      </c>
      <c r="S20" s="85">
        <f>'Base &amp; Ref. Case Calcs.'!$U20*(1+R20)</f>
        <v>-2082.031180218718</v>
      </c>
      <c r="T20" s="85">
        <f>(S20-'Base &amp; Ref. Case Calcs.'!$AB9)/('Base &amp; Ref. Case Calcs.'!$T9-'Base &amp; Ref. Case Calcs.'!$T20)</f>
        <v>231.65028349538002</v>
      </c>
      <c r="U20" s="85">
        <f>S20+'Base &amp; Ref. Case Calcs.'!$T20*T20</f>
        <v>1521.4996889874274</v>
      </c>
      <c r="V20" s="86">
        <f>((U20*T20)-((T20-((S20*-1)/'Base &amp; Ref. Case Calcs.'!$T20))*U20)*0.5)*10^-6</f>
        <v>0.2780480573475469</v>
      </c>
      <c r="W20" s="86">
        <f>(U20*T20)*10^-6</f>
        <v>0.35245583429207006</v>
      </c>
      <c r="Y20" s="93">
        <f>'Climate Impact Inputs'!F14</f>
        <v>-0.14424967465404914</v>
      </c>
      <c r="Z20" s="85">
        <f>'Base &amp; Ref. Case Calcs.'!$U20*(1+Y20)</f>
        <v>-2037.4537990279894</v>
      </c>
      <c r="AA20" s="85">
        <f>(Z20-'Base &amp; Ref. Case Calcs.'!$AJ9)/('Base &amp; Ref. Case Calcs.'!$T9-'Base &amp; Ref. Case Calcs.'!$T20)</f>
        <v>232.48873009242573</v>
      </c>
      <c r="AB20" s="85">
        <f>Z20+'Base &amp; Ref. Case Calcs.'!$T20*AA20</f>
        <v>1579.1198696474482</v>
      </c>
      <c r="AC20" s="86">
        <f>((AB20*AA20)-((AA20-((Z20*-1)/'Base &amp; Ref. Case Calcs.'!$T20))*AB20)*0.5)*10^-6</f>
        <v>0.28697734001187436</v>
      </c>
      <c r="AD20" s="86">
        <f>(AB20*AA20)*10^-6</f>
        <v>0.36712757315805211</v>
      </c>
      <c r="AF20" s="7"/>
      <c r="AG20" s="7"/>
      <c r="CD20" s="15"/>
      <c r="CE20" s="15"/>
      <c r="CF20" s="15"/>
      <c r="CG20" s="15"/>
      <c r="CH20" s="15"/>
      <c r="CI20" s="15"/>
      <c r="CJ20" s="15"/>
      <c r="CK20" s="15"/>
    </row>
    <row r="21" spans="2:89" ht="20" customHeight="1" x14ac:dyDescent="0.45">
      <c r="B21" s="154"/>
      <c r="D21" s="93">
        <f>'Climate Impact Inputs'!C15</f>
        <v>-0.10290000000000001</v>
      </c>
      <c r="E21" s="85">
        <f>'Base &amp; Ref. Case Calcs.'!$U21*(1+D21)</f>
        <v>0</v>
      </c>
      <c r="F21" s="85">
        <f>(E21-'Base &amp; Ref. Case Calcs.'!$AB10)/('Base &amp; Ref. Case Calcs.'!$T10-'Base &amp; Ref. Case Calcs.'!$T21)</f>
        <v>53.975180152411326</v>
      </c>
      <c r="G21" s="85">
        <f>E21+'Base &amp; Ref. Case Calcs.'!$T21*F21</f>
        <v>8351.2455827013491</v>
      </c>
      <c r="H21" s="86">
        <f>((G21*F21)-((F21-((E21*-1)/'Base &amp; Ref. Case Calcs.'!$T21))*G21)*0.5)*10^-6</f>
        <v>0.22537999241166728</v>
      </c>
      <c r="I21" s="86">
        <f>(G21*F21)*10^-6</f>
        <v>0.45075998482333457</v>
      </c>
      <c r="K21" s="93">
        <f>'Climate Impact Inputs'!D15</f>
        <v>-0.12870000000000001</v>
      </c>
      <c r="L21" s="85">
        <f>'Base &amp; Ref. Case Calcs.'!$U21*(1+K21)</f>
        <v>0</v>
      </c>
      <c r="M21" s="85">
        <f>(L21-'Base &amp; Ref. Case Calcs.'!$AJ10)/('Base &amp; Ref. Case Calcs.'!$T10-'Base &amp; Ref. Case Calcs.'!$T21)</f>
        <v>55.816157466102851</v>
      </c>
      <c r="N21" s="85">
        <f>L21+'Base &amp; Ref. Case Calcs.'!$T21*M21</f>
        <v>8636.0886089850319</v>
      </c>
      <c r="O21" s="86">
        <f>((N21*M21)-((M21-((L21*-1)/'Base &amp; Ref. Case Calcs.'!$T21))*N21)*0.5)*10^-6</f>
        <v>0.24101664084516281</v>
      </c>
      <c r="P21" s="86">
        <f>(N21*M21)*10^-6</f>
        <v>0.48203328169032561</v>
      </c>
      <c r="Q21" s="104"/>
      <c r="R21" s="93">
        <f>'Climate Impact Inputs'!E15</f>
        <v>-0.13159999999999999</v>
      </c>
      <c r="S21" s="85">
        <f>'Base &amp; Ref. Case Calcs.'!$U21*(1+R21)</f>
        <v>0</v>
      </c>
      <c r="T21" s="85">
        <f>(S21-'Base &amp; Ref. Case Calcs.'!$AB10)/('Base &amp; Ref. Case Calcs.'!$T10-'Base &amp; Ref. Case Calcs.'!$T21)</f>
        <v>53.975180152411326</v>
      </c>
      <c r="U21" s="85">
        <f>S21+'Base &amp; Ref. Case Calcs.'!$T21*T21</f>
        <v>8351.2455827013491</v>
      </c>
      <c r="V21" s="86">
        <f>((U21*T21)-((T21-((S21*-1)/'Base &amp; Ref. Case Calcs.'!$T21))*U21)*0.5)*10^-6</f>
        <v>0.22537999241166728</v>
      </c>
      <c r="W21" s="86">
        <f>(U21*T21)*10^-6</f>
        <v>0.45075998482333457</v>
      </c>
      <c r="Y21" s="93">
        <f>'Climate Impact Inputs'!F15</f>
        <v>-0.129</v>
      </c>
      <c r="Z21" s="85">
        <f>'Base &amp; Ref. Case Calcs.'!$U21*(1+Y21)</f>
        <v>0</v>
      </c>
      <c r="AA21" s="85">
        <f>(Z21-'Base &amp; Ref. Case Calcs.'!$AJ10)/('Base &amp; Ref. Case Calcs.'!$T10-'Base &amp; Ref. Case Calcs.'!$T21)</f>
        <v>55.816157466102851</v>
      </c>
      <c r="AB21" s="85">
        <f>Z21+'Base &amp; Ref. Case Calcs.'!$T21*AA21</f>
        <v>8636.0886089850319</v>
      </c>
      <c r="AC21" s="86">
        <f>((AB21*AA21)-((AA21-((Z21*-1)/'Base &amp; Ref. Case Calcs.'!$T21))*AB21)*0.5)*10^-6</f>
        <v>0.24101664084516281</v>
      </c>
      <c r="AD21" s="86">
        <f>(AB21*AA21)*10^-6</f>
        <v>0.48203328169032561</v>
      </c>
      <c r="AF21" s="7"/>
      <c r="AG21" s="7"/>
      <c r="CD21" s="15"/>
      <c r="CE21" s="15"/>
      <c r="CF21" s="15"/>
      <c r="CG21" s="15"/>
      <c r="CH21" s="15"/>
      <c r="CI21" s="15"/>
      <c r="CJ21" s="15"/>
      <c r="CK21" s="15"/>
    </row>
    <row r="22" spans="2:89" ht="20" customHeight="1" x14ac:dyDescent="0.45">
      <c r="B22" s="154"/>
      <c r="D22" s="90"/>
      <c r="E22" s="85"/>
      <c r="F22" s="89">
        <f>SUM(F17:F21)</f>
        <v>1999.7296857499546</v>
      </c>
      <c r="G22" s="85"/>
      <c r="H22" s="90">
        <f>SUM(H17:H21)</f>
        <v>5.9497415503834041</v>
      </c>
      <c r="I22" s="90">
        <f>SUM(I17:I21)</f>
        <v>7.7205719853510146</v>
      </c>
      <c r="K22" s="90"/>
      <c r="L22" s="85"/>
      <c r="M22" s="89">
        <f>SUM(M17:M21)</f>
        <v>2009.6163468183258</v>
      </c>
      <c r="N22" s="85"/>
      <c r="O22" s="90">
        <f>SUM(O17:O21)</f>
        <v>6.1635232967805793</v>
      </c>
      <c r="P22" s="90">
        <f>SUM(P17:P21)</f>
        <v>8.0821181349743121</v>
      </c>
      <c r="Q22" s="105"/>
      <c r="R22" s="90"/>
      <c r="S22" s="85"/>
      <c r="T22" s="89">
        <f>SUM(T17:T21)</f>
        <v>1972.8841376620489</v>
      </c>
      <c r="U22" s="85"/>
      <c r="V22" s="90">
        <f>SUM(V17:V21)</f>
        <v>5.9302074491065628</v>
      </c>
      <c r="W22" s="90">
        <f>SUM(W17:W21)</f>
        <v>7.7573473046074382</v>
      </c>
      <c r="Y22" s="90"/>
      <c r="Z22" s="85"/>
      <c r="AA22" s="89">
        <f>SUM(AA17:AA21)</f>
        <v>1984.3951099306444</v>
      </c>
      <c r="AB22" s="85"/>
      <c r="AC22" s="90">
        <f>SUM(AC17:AC21)</f>
        <v>6.1439809346579928</v>
      </c>
      <c r="AD22" s="90">
        <f>SUM(AD17:AD21)</f>
        <v>8.1085216071025474</v>
      </c>
      <c r="AF22" s="7"/>
      <c r="AG22" s="7"/>
      <c r="CD22" s="15"/>
      <c r="CE22" s="15"/>
      <c r="CF22" s="15"/>
      <c r="CG22" s="15"/>
      <c r="CH22" s="15"/>
      <c r="CI22" s="15"/>
      <c r="CJ22" s="15"/>
      <c r="CK22" s="15"/>
    </row>
    <row r="23" spans="2:89" ht="5" customHeight="1" x14ac:dyDescent="0.45">
      <c r="D23" s="15"/>
      <c r="E23" s="15"/>
      <c r="F23" s="15"/>
      <c r="G23" s="15"/>
      <c r="H23" s="15"/>
      <c r="I23" s="15"/>
      <c r="M23" s="15"/>
      <c r="N23" s="15"/>
      <c r="O23" s="15"/>
      <c r="P23" s="15"/>
      <c r="R23" s="15"/>
      <c r="S23" s="15"/>
      <c r="T23" s="15"/>
      <c r="U23" s="15"/>
      <c r="V23" s="15"/>
      <c r="W23" s="15"/>
      <c r="Y23" s="15"/>
      <c r="Z23" s="15"/>
      <c r="AA23" s="15"/>
      <c r="AB23" s="15"/>
      <c r="AC23" s="15"/>
      <c r="AD23" s="15"/>
      <c r="AF23" s="7"/>
      <c r="AG23" s="7"/>
      <c r="CD23" s="15"/>
      <c r="CE23" s="15"/>
      <c r="CF23" s="15"/>
      <c r="CG23" s="15"/>
      <c r="CH23" s="15"/>
      <c r="CI23" s="15"/>
      <c r="CJ23" s="15"/>
      <c r="CK23" s="15"/>
    </row>
    <row r="24" spans="2:89" ht="20" customHeight="1" x14ac:dyDescent="0.45">
      <c r="G24" s="44" t="s">
        <v>139</v>
      </c>
      <c r="H24" s="65">
        <f>F11+H22</f>
        <v>11.431732372244889</v>
      </c>
      <c r="N24" s="44" t="s">
        <v>139</v>
      </c>
      <c r="O24" s="65">
        <f>M11+O22</f>
        <v>11.718230190892761</v>
      </c>
      <c r="U24" s="44" t="s">
        <v>139</v>
      </c>
      <c r="V24" s="65">
        <f>T11+V22</f>
        <v>11.276444338620998</v>
      </c>
      <c r="AB24" s="44" t="s">
        <v>139</v>
      </c>
      <c r="AC24" s="65">
        <f>AA11+AC22</f>
        <v>11.587260779420294</v>
      </c>
    </row>
    <row r="27" spans="2:89" x14ac:dyDescent="0.45">
      <c r="F27" s="94"/>
      <c r="G27" s="70"/>
    </row>
    <row r="28" spans="2:89" x14ac:dyDescent="0.45">
      <c r="F28" s="94"/>
      <c r="G28" s="70"/>
    </row>
    <row r="29" spans="2:89" x14ac:dyDescent="0.45">
      <c r="F29" s="94"/>
      <c r="G29" s="70"/>
    </row>
    <row r="30" spans="2:89" x14ac:dyDescent="0.45">
      <c r="F30" s="94"/>
      <c r="G30" s="70"/>
    </row>
    <row r="31" spans="2:89" x14ac:dyDescent="0.45">
      <c r="F31" s="94"/>
      <c r="G31" s="70"/>
    </row>
    <row r="32" spans="2:89" x14ac:dyDescent="0.45">
      <c r="F32" s="95"/>
      <c r="G32" s="96"/>
    </row>
    <row r="33" spans="7:7" x14ac:dyDescent="0.45">
      <c r="G33" s="3"/>
    </row>
  </sheetData>
  <sheetProtection algorithmName="SHA-512" hashValue="mwYe8U+cT2H1YAT2fe15WhhHY+dXmgISOIqrhMqonDkUKunUqExIF4rkOnEtSZ4anrCL74EZz8tlx7SH7gqmUA==" saltValue="KyHb9D/SCuQCIABRLqJlfg==" spinCount="100000" sheet="1" objects="1" scenarios="1" selectLockedCells="1"/>
  <mergeCells count="10">
    <mergeCell ref="B15:B22"/>
    <mergeCell ref="R2:W2"/>
    <mergeCell ref="Y2:AD2"/>
    <mergeCell ref="R13:W13"/>
    <mergeCell ref="Y13:AD13"/>
    <mergeCell ref="D2:I2"/>
    <mergeCell ref="D13:I13"/>
    <mergeCell ref="K2:P2"/>
    <mergeCell ref="K13:P13"/>
    <mergeCell ref="B4:B1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EE1AF-EB98-4953-B486-B560FF3ED438}">
  <dimension ref="B2:AH54"/>
  <sheetViews>
    <sheetView showGridLines="0" zoomScale="90" zoomScaleNormal="90" workbookViewId="0">
      <selection activeCell="G2" sqref="G2"/>
    </sheetView>
  </sheetViews>
  <sheetFormatPr defaultRowHeight="13.15" x14ac:dyDescent="0.45"/>
  <cols>
    <col min="1" max="1" width="1.59765625" style="2" customWidth="1"/>
    <col min="2" max="2" width="7.59765625" style="2" customWidth="1"/>
    <col min="3" max="3" width="15.59765625" style="2" customWidth="1"/>
    <col min="4" max="5" width="7.59765625" style="2" customWidth="1"/>
    <col min="6" max="6" width="2.59765625" style="2" customWidth="1"/>
    <col min="7" max="9" width="12.59765625" style="2" customWidth="1"/>
    <col min="10" max="10" width="2.59765625" style="2" customWidth="1"/>
    <col min="11" max="11" width="15.59765625" style="2" customWidth="1"/>
    <col min="12" max="13" width="7.59765625" style="2" customWidth="1"/>
    <col min="14" max="14" width="2.59765625" style="2" customWidth="1"/>
    <col min="15" max="17" width="12.59765625" style="2" customWidth="1"/>
    <col min="18" max="18" width="2.59765625" style="2" customWidth="1"/>
    <col min="19" max="19" width="15.59765625" style="2" customWidth="1"/>
    <col min="20" max="21" width="7.59765625" style="2" customWidth="1"/>
    <col min="22" max="22" width="2.59765625" style="2" customWidth="1"/>
    <col min="23" max="25" width="12.59765625" style="2" customWidth="1"/>
    <col min="26" max="26" width="2.59765625" style="2" customWidth="1"/>
    <col min="27" max="27" width="15.59765625" style="2" customWidth="1"/>
    <col min="28" max="29" width="7.59765625" style="2" customWidth="1"/>
    <col min="30" max="30" width="2.59765625" style="2" customWidth="1"/>
    <col min="31" max="33" width="12.59765625" style="2" customWidth="1"/>
    <col min="34" max="34" width="2.59765625" style="2" customWidth="1"/>
    <col min="35" max="16384" width="9.06640625" style="2"/>
  </cols>
  <sheetData>
    <row r="2" spans="2:34" ht="20" customHeight="1" x14ac:dyDescent="0.45">
      <c r="B2" s="2" t="s">
        <v>91</v>
      </c>
      <c r="C2" s="2" t="s">
        <v>5</v>
      </c>
      <c r="D2" s="2" t="s">
        <v>92</v>
      </c>
      <c r="E2" s="34">
        <v>1</v>
      </c>
      <c r="F2" s="78" t="s">
        <v>179</v>
      </c>
      <c r="G2" s="166">
        <v>1</v>
      </c>
    </row>
    <row r="3" spans="2:34" ht="20" customHeight="1" x14ac:dyDescent="0.45">
      <c r="C3" s="2" t="s">
        <v>6</v>
      </c>
      <c r="E3" s="34">
        <v>2</v>
      </c>
    </row>
    <row r="4" spans="2:34" ht="20" customHeight="1" x14ac:dyDescent="0.45">
      <c r="C4" s="2" t="s">
        <v>7</v>
      </c>
      <c r="E4" s="34">
        <v>3</v>
      </c>
    </row>
    <row r="5" spans="2:34" ht="20" customHeight="1" x14ac:dyDescent="0.45">
      <c r="C5" s="2" t="s">
        <v>8</v>
      </c>
      <c r="E5" s="34">
        <v>4</v>
      </c>
    </row>
    <row r="6" spans="2:34" ht="20" customHeight="1" x14ac:dyDescent="0.45">
      <c r="C6" s="2" t="s">
        <v>9</v>
      </c>
      <c r="E6" s="34">
        <v>5</v>
      </c>
    </row>
    <row r="8" spans="2:34" s="72" customFormat="1" ht="20" customHeight="1" x14ac:dyDescent="0.45">
      <c r="G8" s="79" t="s">
        <v>93</v>
      </c>
      <c r="H8" s="75" t="str">
        <f>IF($G$2=1,$C$2,IF($G$2=2,$C$3,IF($G$2=3,$C$4,IF($G$2=4,$C$5,IF($G$2=5,$C$6)))))</f>
        <v>Demersals</v>
      </c>
      <c r="O8" s="79" t="s">
        <v>104</v>
      </c>
      <c r="P8" s="75" t="str">
        <f>IF($G$2=1,$C$2,IF($G$2=2,$C$3,IF($G$2=3,$C$4,IF($G$2=4,$C$5,IF($G$2=5,$C$6)))))</f>
        <v>Demersals</v>
      </c>
      <c r="W8" s="79" t="s">
        <v>105</v>
      </c>
      <c r="X8" s="75" t="str">
        <f>IF($G$2=1,$C$2,IF($G$2=2,$C$3,IF($G$2=3,$C$4,IF($G$2=4,$C$5,IF($G$2=5,$C$6)))))</f>
        <v>Demersals</v>
      </c>
      <c r="AE8" s="79"/>
      <c r="AF8" s="75"/>
    </row>
    <row r="10" spans="2:34" x14ac:dyDescent="0.45">
      <c r="G10" s="74" t="s">
        <v>94</v>
      </c>
      <c r="H10" s="74" t="s">
        <v>95</v>
      </c>
      <c r="O10" s="74" t="s">
        <v>94</v>
      </c>
      <c r="P10" s="74" t="s">
        <v>95</v>
      </c>
      <c r="W10" s="74" t="s">
        <v>94</v>
      </c>
      <c r="X10" s="74" t="s">
        <v>95</v>
      </c>
      <c r="AE10" s="74"/>
      <c r="AF10" s="74"/>
    </row>
    <row r="11" spans="2:34" x14ac:dyDescent="0.45">
      <c r="R11" s="14"/>
      <c r="Z11" s="14"/>
      <c r="AH11" s="14"/>
    </row>
    <row r="12" spans="2:34" x14ac:dyDescent="0.45">
      <c r="E12" s="44" t="s">
        <v>96</v>
      </c>
      <c r="F12" s="78" t="s">
        <v>90</v>
      </c>
      <c r="G12" s="14">
        <f>IF($G$2=1,'Base &amp; Ref. Case Calcs.'!R6,IF($G$2=2,'Base &amp; Ref. Case Calcs.'!R7,IF($G$2=3,'Base &amp; Ref. Case Calcs.'!R8,IF($G$2=4,'Base &amp; Ref. Case Calcs.'!R9,IF($G$2=5,'Base &amp; Ref. Case Calcs.'!R10)))))</f>
        <v>5340.8921131297102</v>
      </c>
      <c r="H12" s="14">
        <f>IF($G$2=1,'Base &amp; Ref. Case Calcs.'!N6,IF($G$2=2,'Base &amp; Ref. Case Calcs.'!N7,IF($G$2=3,'Base &amp; Ref. Case Calcs.'!N8,IF($G$2=4,'Base &amp; Ref. Case Calcs.'!N9,IF($G$2=5,'Base &amp; Ref. Case Calcs.'!N10)))))</f>
        <v>418.14550056834003</v>
      </c>
      <c r="M12" s="44" t="s">
        <v>96</v>
      </c>
      <c r="N12" s="78" t="s">
        <v>90</v>
      </c>
      <c r="O12" s="14">
        <f>IF($G$2=1,'Base &amp; Ref. Case Calcs.'!Z6,IF($G$2=2,'Base &amp; Ref. Case Calcs.'!Z7,IF($G$2=3,'Base &amp; Ref. Case Calcs.'!Z8,IF($G$2=4,'Base &amp; Ref. Case Calcs.'!Z9,IF($G$2=5,'Base &amp; Ref. Case Calcs.'!Z10)))))</f>
        <v>6275.7063728555459</v>
      </c>
      <c r="P12" s="14">
        <f>IF($G$2=1,'Base &amp; Ref. Case Calcs.'!AC6,IF($G$2=2,'Base &amp; Ref. Case Calcs.'!AC7,IF($G$2=3,'Base &amp; Ref. Case Calcs.'!AC8,IF($G$2=4,'Base &amp; Ref. Case Calcs.'!AC9,IF($G$2=5,'Base &amp; Ref. Case Calcs.'!AC10)))))</f>
        <v>446.10325681719377</v>
      </c>
      <c r="R12" s="14"/>
      <c r="U12" s="44" t="s">
        <v>96</v>
      </c>
      <c r="V12" s="78" t="s">
        <v>90</v>
      </c>
      <c r="W12" s="14">
        <f>IF($G$2=1,'Base &amp; Ref. Case Calcs.'!AH6,IF($G$2=2,'Base &amp; Ref. Case Calcs.'!AH7,IF($G$2=3,'Base &amp; Ref. Case Calcs.'!AH8,IF($G$2=4,'Base &amp; Ref. Case Calcs.'!AH9,IF($G$2=5,'Base &amp; Ref. Case Calcs.'!AH10)))))</f>
        <v>6473.6515200728209</v>
      </c>
      <c r="X12" s="14">
        <f>IF($G$2=1,'Base &amp; Ref. Case Calcs.'!AK6,IF($G$2=2,'Base &amp; Ref. Case Calcs.'!AK7,IF($G$2=3,'Base &amp; Ref. Case Calcs.'!AK8,IF($G$2=4,'Base &amp; Ref. Case Calcs.'!AK9,IF($G$2=5,'Base &amp; Ref. Case Calcs.'!AK10)))))</f>
        <v>452.02325869881582</v>
      </c>
      <c r="Z12" s="14"/>
      <c r="AC12" s="44"/>
      <c r="AD12" s="78"/>
      <c r="AE12" s="14"/>
      <c r="AF12" s="14"/>
      <c r="AH12" s="14"/>
    </row>
    <row r="13" spans="2:34" x14ac:dyDescent="0.45">
      <c r="E13" s="44" t="s">
        <v>98</v>
      </c>
      <c r="F13" s="78" t="s">
        <v>90</v>
      </c>
      <c r="G13" s="14">
        <f>IF($G$2=1,'Base &amp; Ref. Case Calcs.'!U6,IF($G$2=2,'Base &amp; Ref. Case Calcs.'!U7,IF($G$2=3,'Base &amp; Ref. Case Calcs.'!U8,IF($G$2=4,'Base &amp; Ref. Case Calcs.'!U9,IF($G$2=5,'Base &amp; Ref. Case Calcs.'!U10)))))</f>
        <v>14408.620658341442</v>
      </c>
      <c r="H13" s="14">
        <v>0</v>
      </c>
      <c r="M13" s="44" t="s">
        <v>98</v>
      </c>
      <c r="N13" s="78" t="s">
        <v>90</v>
      </c>
      <c r="O13" s="14">
        <f>IF($G$2=1,'Base &amp; Ref. Case Calcs.'!AB6,IF($G$2=2,'Base &amp; Ref. Case Calcs.'!AB7,IF($G$2=3,'Base &amp; Ref. Case Calcs.'!AB8,IF($G$2=4,'Base &amp; Ref. Case Calcs.'!AB9,IF($G$2=5,'Base &amp; Ref. Case Calcs.'!AB10)))))</f>
        <v>15949.715134052454</v>
      </c>
      <c r="P13" s="14">
        <v>0</v>
      </c>
      <c r="R13" s="14"/>
      <c r="U13" s="44" t="s">
        <v>98</v>
      </c>
      <c r="V13" s="78" t="s">
        <v>90</v>
      </c>
      <c r="W13" s="14">
        <f>IF($G$2=1,'Base &amp; Ref. Case Calcs.'!AJ6,IF($G$2=2,'Base &amp; Ref. Case Calcs.'!AJ7,IF($G$2=3,'Base &amp; Ref. Case Calcs.'!AJ8,IF($G$2=4,'Base &amp; Ref. Case Calcs.'!AJ9,IF($G$2=5,'Base &amp; Ref. Case Calcs.'!AJ10)))))</f>
        <v>16276.038967580425</v>
      </c>
      <c r="X13" s="14">
        <v>0</v>
      </c>
      <c r="Z13" s="14"/>
      <c r="AC13" s="44"/>
      <c r="AD13" s="78"/>
      <c r="AE13" s="14"/>
      <c r="AF13" s="14"/>
      <c r="AH13" s="14"/>
    </row>
    <row r="14" spans="2:34" x14ac:dyDescent="0.45">
      <c r="E14" s="44" t="s">
        <v>97</v>
      </c>
      <c r="F14" s="78" t="s">
        <v>90</v>
      </c>
      <c r="G14" s="14">
        <v>0</v>
      </c>
      <c r="H14" s="14">
        <f>(G13*-1)/IF($G$2=1,'Base &amp; Ref. Case Calcs.'!T6,IF($G$2=2,'Base &amp; Ref. Case Calcs.'!T7,IF($G$2=3,'Base &amp; Ref. Case Calcs.'!T8,IF($G$2=4,'Base &amp; Ref. Case Calcs.'!T9,IF($G$2=5,'Base &amp; Ref. Case Calcs.'!T10)))))</f>
        <v>664.4332004030922</v>
      </c>
      <c r="M14" s="44" t="s">
        <v>97</v>
      </c>
      <c r="N14" s="78" t="s">
        <v>90</v>
      </c>
      <c r="O14" s="14">
        <v>0</v>
      </c>
      <c r="P14" s="14">
        <f>(O13*-1)/IF($G$2=1,'Base &amp; Ref. Case Calcs.'!AA6,IF($G$2=2,'Base &amp; Ref. Case Calcs.'!AA7,IF($G$2=3,'Base &amp; Ref. Case Calcs.'!AA8,IF($G$2=4,'Base &amp; Ref. Case Calcs.'!AA9,IF($G$2=5,'Base &amp; Ref. Case Calcs.'!AA10)))))</f>
        <v>735.49859652256089</v>
      </c>
      <c r="R14" s="14"/>
      <c r="U14" s="44" t="s">
        <v>97</v>
      </c>
      <c r="V14" s="78" t="s">
        <v>90</v>
      </c>
      <c r="W14" s="14">
        <v>0</v>
      </c>
      <c r="X14" s="14">
        <f>(W13*-1)/IF($G$2=1,'Base &amp; Ref. Case Calcs.'!AI6,IF($G$2=2,'Base &amp; Ref. Case Calcs.'!AI7,IF($G$2=3,'Base &amp; Ref. Case Calcs.'!AI8,IF($G$2=4,'Base &amp; Ref. Case Calcs.'!AI9,IF($G$2=5,'Base &amp; Ref. Case Calcs.'!AI10)))))</f>
        <v>750.54655942061061</v>
      </c>
      <c r="Z14" s="14"/>
      <c r="AC14" s="44"/>
      <c r="AD14" s="78"/>
      <c r="AE14" s="14"/>
      <c r="AF14" s="14"/>
      <c r="AH14" s="14"/>
    </row>
    <row r="15" spans="2:34" x14ac:dyDescent="0.45">
      <c r="E15" s="44"/>
      <c r="G15" s="14"/>
      <c r="H15" s="14"/>
      <c r="M15" s="44"/>
      <c r="O15" s="14"/>
      <c r="P15" s="14"/>
      <c r="R15" s="14"/>
      <c r="U15" s="44"/>
      <c r="W15" s="14"/>
      <c r="X15" s="14"/>
      <c r="Z15" s="14"/>
      <c r="AC15" s="44"/>
      <c r="AE15" s="14"/>
      <c r="AF15" s="14"/>
      <c r="AH15" s="14"/>
    </row>
    <row r="16" spans="2:34" x14ac:dyDescent="0.45">
      <c r="E16" s="44" t="s">
        <v>103</v>
      </c>
      <c r="F16" s="78" t="s">
        <v>90</v>
      </c>
      <c r="G16" s="14">
        <f>G19+IF($G$2=1,'Base &amp; Ref. Case Calcs.'!T17,IF($G$2=2,'Base &amp; Ref. Case Calcs.'!T18,IF($G$2=3,'Base &amp; Ref. Case Calcs.'!T19,IF($G$2=4,'Base &amp; Ref. Case Calcs.'!T20,IF($G$2=5,'Base &amp; Ref. Case Calcs.'!T21)))))*H16</f>
        <v>13575.932570285204</v>
      </c>
      <c r="H16" s="14">
        <f>H14</f>
        <v>664.4332004030922</v>
      </c>
      <c r="M16" s="44" t="s">
        <v>103</v>
      </c>
      <c r="N16" s="78" t="s">
        <v>90</v>
      </c>
      <c r="O16" s="14">
        <f>O19+IF($G$2=1,'Base &amp; Ref. Case Calcs.'!$AA$17,IF($G$2=2,'Base &amp; Ref. Case Calcs.'!$AA$18,IF($G$2=3,'Base &amp; Ref. Case Calcs.'!$AA$19,IF($G$2=4,'Base &amp; Ref. Case Calcs.'!$AA$20,IF($G$2=5,'Base &amp; Ref. Case Calcs.'!$AA$21)))))*P16</f>
        <v>15952.122743567368</v>
      </c>
      <c r="P16" s="14">
        <f>P14</f>
        <v>735.49859652256089</v>
      </c>
      <c r="R16" s="14"/>
      <c r="U16" s="44" t="s">
        <v>103</v>
      </c>
      <c r="V16" s="78" t="s">
        <v>90</v>
      </c>
      <c r="W16" s="14">
        <f>W19+IF($G$2=1,'Base &amp; Ref. Case Calcs.'!AI17,IF($G$2=2,'Base &amp; Ref. Case Calcs.'!AI18,IF($G$2=3,'Base &amp; Ref. Case Calcs.'!AI19,IF($G$2=4,'Base &amp; Ref. Case Calcs.'!AI20,IF($G$2=5,'Base &amp; Ref. Case Calcs.'!AI21)))))*X16</f>
        <v>16455.276507829079</v>
      </c>
      <c r="X16" s="14">
        <f>X14</f>
        <v>750.54655942061061</v>
      </c>
      <c r="Z16" s="14"/>
      <c r="AC16" s="44"/>
      <c r="AD16" s="78"/>
      <c r="AE16" s="14"/>
      <c r="AF16" s="14"/>
      <c r="AH16" s="14"/>
    </row>
    <row r="17" spans="5:34" x14ac:dyDescent="0.45">
      <c r="E17" s="44" t="s">
        <v>102</v>
      </c>
      <c r="F17" s="78" t="s">
        <v>90</v>
      </c>
      <c r="G17" s="14">
        <f>IF($G$2=1,'Base &amp; Ref. Case Calcs.'!R17,IF($G$2=2,'Base &amp; Ref. Case Calcs.'!R18,IF($G$2=3,'Base &amp; Ref. Case Calcs.'!R19,IF($G$2=4,'Base &amp; Ref. Case Calcs.'!R20,IF($G$2=5,'Base &amp; Ref. Case Calcs.'!R21)))))</f>
        <v>5340.8921131297102</v>
      </c>
      <c r="H17" s="14">
        <f>IF($G$2=1,'Base &amp; Ref. Case Calcs.'!N17,IF($G$2=2,'Base &amp; Ref. Case Calcs.'!N18,IF($G$2=3,'Base &amp; Ref. Case Calcs.'!N19,IF($G$2=4,'Base &amp; Ref. Case Calcs.'!N20,IF($G$2=5,'Base &amp; Ref. Case Calcs.'!N21)))))</f>
        <v>418.14550056834003</v>
      </c>
      <c r="M17" s="44" t="s">
        <v>102</v>
      </c>
      <c r="N17" s="78" t="s">
        <v>90</v>
      </c>
      <c r="O17" s="14">
        <f>IF($G$2=1,'Base &amp; Ref. Case Calcs.'!Z17,IF($G$2=2,'Base &amp; Ref. Case Calcs.'!Z18,IF($G$2=3,'Base &amp; Ref. Case Calcs.'!Z19,IF($G$2=4,'Base &amp; Ref. Case Calcs.'!Z20,IF($G$2=5,'Base &amp; Ref. Case Calcs.'!Z21)))))</f>
        <v>6275.7063728555459</v>
      </c>
      <c r="P17" s="14">
        <f>IF($G$2=1,'Base &amp; Ref. Case Calcs.'!AC17,IF($G$2=2,'Base &amp; Ref. Case Calcs.'!AC18,IF($G$2=3,'Base &amp; Ref. Case Calcs.'!AC19,IF($G$2=4,'Base &amp; Ref. Case Calcs.'!AC20,IF($G$2=5,'Base &amp; Ref. Case Calcs.'!AC21)))))</f>
        <v>446.10325681719377</v>
      </c>
      <c r="R17" s="14"/>
      <c r="U17" s="44" t="s">
        <v>102</v>
      </c>
      <c r="V17" s="78" t="s">
        <v>90</v>
      </c>
      <c r="W17" s="14">
        <f>IF($G$2=1,'Base &amp; Ref. Case Calcs.'!AH17,IF($G$2=2,'Base &amp; Ref. Case Calcs.'!AH18,IF($G$2=3,'Base &amp; Ref. Case Calcs.'!AH19,IF($G$2=4,'Base &amp; Ref. Case Calcs.'!AH20,IF($G$2=5,'Base &amp; Ref. Case Calcs.'!AH21)))))</f>
        <v>6473.6515200728209</v>
      </c>
      <c r="X17" s="14">
        <f>IF($G$2=1,'Base &amp; Ref. Case Calcs.'!AK17,IF($G$2=2,'Base &amp; Ref. Case Calcs.'!AK18,IF($G$2=3,'Base &amp; Ref. Case Calcs.'!AK19,IF($G$2=4,'Base &amp; Ref. Case Calcs.'!AK20,IF($G$2=5,'Base &amp; Ref. Case Calcs.'!AK21)))))</f>
        <v>452.02325869881582</v>
      </c>
      <c r="Z17" s="14"/>
      <c r="AC17" s="44"/>
      <c r="AD17" s="78"/>
      <c r="AE17" s="14"/>
      <c r="AF17" s="14"/>
      <c r="AH17" s="14"/>
    </row>
    <row r="18" spans="5:34" x14ac:dyDescent="0.45">
      <c r="E18" s="44" t="s">
        <v>97</v>
      </c>
      <c r="F18" s="78" t="s">
        <v>90</v>
      </c>
      <c r="G18" s="14">
        <v>0</v>
      </c>
      <c r="H18" s="14">
        <f>G19*-1/IF($G$2=1,'Base &amp; Ref. Case Calcs.'!T17,IF($G$2=2,'Base &amp; Ref. Case Calcs.'!T18,IF($G$2=3,'Base &amp; Ref. Case Calcs.'!T19,IF($G$2=4,'Base &amp; Ref. Case Calcs.'!T20,IF($G$2=5,'Base &amp; Ref. Case Calcs.'!T21)))))</f>
        <v>258.41391935123409</v>
      </c>
      <c r="M18" s="44" t="s">
        <v>97</v>
      </c>
      <c r="N18" s="78" t="s">
        <v>90</v>
      </c>
      <c r="O18" s="14">
        <v>0</v>
      </c>
      <c r="P18" s="14">
        <f>O19*-1/IF($G$2=1,'Base &amp; Ref. Case Calcs.'!$AA$17,IF($G$2=2,'Base &amp; Ref. Case Calcs.'!$AA$18,IF($G$2=3,'Base &amp; Ref. Case Calcs.'!$AA$19,IF($G$2=4,'Base &amp; Ref. Case Calcs.'!$AA$20,IF($G$2=5,'Base &amp; Ref. Case Calcs.'!$AA$21)))))</f>
        <v>258.41391935123409</v>
      </c>
      <c r="R18" s="14"/>
      <c r="U18" s="44" t="s">
        <v>97</v>
      </c>
      <c r="V18" s="78" t="s">
        <v>90</v>
      </c>
      <c r="W18" s="14">
        <v>0</v>
      </c>
      <c r="X18" s="14">
        <f>W19*-1/IF($G$2=1,'Base &amp; Ref. Case Calcs.'!AI17,IF($G$2=2,'Base &amp; Ref. Case Calcs.'!AI18,IF($G$2=3,'Base &amp; Ref. Case Calcs.'!AI19,IF($G$2=4,'Base &amp; Ref. Case Calcs.'!AI20,IF($G$2=5,'Base &amp; Ref. Case Calcs.'!AI21)))))</f>
        <v>258.41391935123409</v>
      </c>
      <c r="Z18" s="14"/>
      <c r="AC18" s="44"/>
      <c r="AD18" s="78"/>
      <c r="AE18" s="14"/>
      <c r="AF18" s="14"/>
      <c r="AH18" s="14"/>
    </row>
    <row r="19" spans="5:34" x14ac:dyDescent="0.45">
      <c r="E19" s="44" t="s">
        <v>99</v>
      </c>
      <c r="F19" s="78" t="s">
        <v>90</v>
      </c>
      <c r="G19" s="14">
        <f>IF($G$2=1,'Base &amp; Ref. Case Calcs.'!U17,IF($G$2=2,'Base &amp; Ref. Case Calcs.'!U18,IF($G$2=3,'Base &amp; Ref. Case Calcs.'!U19,IF($G$2=4,'Base &amp; Ref. Case Calcs.'!U20,IF($G$2=5,'Base &amp; Ref. Case Calcs.'!U21)))))</f>
        <v>-8640.5008531784297</v>
      </c>
      <c r="H19" s="14">
        <v>0</v>
      </c>
      <c r="M19" s="44" t="s">
        <v>99</v>
      </c>
      <c r="N19" s="78" t="s">
        <v>90</v>
      </c>
      <c r="O19" s="14">
        <f>IF($G$2=1,'Base &amp; Ref. Case Calcs.'!AB17,IF($G$2=2,'Base &amp; Ref. Case Calcs.'!AB18,IF($G$2=3,'Base &amp; Ref. Case Calcs.'!AB19,IF($G$2=4,'Base &amp; Ref. Case Calcs.'!AB20,IF($G$2=5,'Base &amp; Ref. Case Calcs.'!AB21)))))</f>
        <v>-8640.5008531784297</v>
      </c>
      <c r="P19" s="14">
        <v>0</v>
      </c>
      <c r="R19" s="14"/>
      <c r="U19" s="44" t="s">
        <v>99</v>
      </c>
      <c r="V19" s="78" t="s">
        <v>90</v>
      </c>
      <c r="W19" s="14">
        <f>IF($G$2=1,'Base &amp; Ref. Case Calcs.'!AJ17,IF($G$2=2,'Base &amp; Ref. Case Calcs.'!AJ18,IF($G$2=3,'Base &amp; Ref. Case Calcs.'!AJ19,IF($G$2=4,'Base &amp; Ref. Case Calcs.'!AJ20,IF($G$2=5,'Base &amp; Ref. Case Calcs.'!AJ21)))))</f>
        <v>-8640.5008531784297</v>
      </c>
      <c r="X19" s="14">
        <v>0</v>
      </c>
      <c r="Z19" s="14"/>
      <c r="AC19" s="44"/>
      <c r="AD19" s="78"/>
      <c r="AE19" s="14"/>
      <c r="AF19" s="14"/>
      <c r="AH19" s="14"/>
    </row>
    <row r="20" spans="5:34" x14ac:dyDescent="0.45">
      <c r="E20" s="44"/>
      <c r="G20" s="14"/>
      <c r="H20" s="14"/>
      <c r="M20" s="44"/>
      <c r="O20" s="14"/>
      <c r="P20" s="14"/>
      <c r="R20" s="14"/>
      <c r="U20" s="44"/>
      <c r="W20" s="14"/>
      <c r="X20" s="14"/>
      <c r="Z20" s="14"/>
      <c r="AC20" s="44"/>
      <c r="AE20" s="14"/>
      <c r="AF20" s="14"/>
      <c r="AH20" s="14"/>
    </row>
    <row r="21" spans="5:34" x14ac:dyDescent="0.45">
      <c r="E21" s="44" t="s">
        <v>100</v>
      </c>
      <c r="F21" s="78" t="s">
        <v>90</v>
      </c>
      <c r="G21" s="14">
        <f>G12</f>
        <v>5340.8921131297102</v>
      </c>
      <c r="H21" s="14">
        <v>0</v>
      </c>
      <c r="M21" s="44" t="s">
        <v>100</v>
      </c>
      <c r="N21" s="78" t="s">
        <v>90</v>
      </c>
      <c r="O21" s="14">
        <f>O12</f>
        <v>6275.7063728555459</v>
      </c>
      <c r="P21" s="14">
        <v>0</v>
      </c>
      <c r="R21" s="14"/>
      <c r="U21" s="44" t="s">
        <v>100</v>
      </c>
      <c r="V21" s="78" t="s">
        <v>90</v>
      </c>
      <c r="W21" s="14">
        <f>W12</f>
        <v>6473.6515200728209</v>
      </c>
      <c r="X21" s="14">
        <v>0</v>
      </c>
      <c r="Z21" s="14"/>
      <c r="AC21" s="44"/>
      <c r="AD21" s="78"/>
      <c r="AE21" s="14"/>
      <c r="AF21" s="14"/>
      <c r="AH21" s="14"/>
    </row>
    <row r="22" spans="5:34" x14ac:dyDescent="0.45">
      <c r="E22" s="44" t="s">
        <v>100</v>
      </c>
      <c r="F22" s="78" t="s">
        <v>90</v>
      </c>
      <c r="G22" s="14">
        <f>G12</f>
        <v>5340.8921131297102</v>
      </c>
      <c r="H22" s="14">
        <f>H12</f>
        <v>418.14550056834003</v>
      </c>
      <c r="M22" s="44" t="s">
        <v>100</v>
      </c>
      <c r="N22" s="78" t="s">
        <v>90</v>
      </c>
      <c r="O22" s="14">
        <f>O12</f>
        <v>6275.7063728555459</v>
      </c>
      <c r="P22" s="14">
        <f>P12</f>
        <v>446.10325681719377</v>
      </c>
      <c r="R22" s="14"/>
      <c r="U22" s="44" t="s">
        <v>100</v>
      </c>
      <c r="V22" s="78" t="s">
        <v>90</v>
      </c>
      <c r="W22" s="14">
        <f>W12</f>
        <v>6473.6515200728209</v>
      </c>
      <c r="X22" s="14">
        <f>X12</f>
        <v>452.02325869881582</v>
      </c>
      <c r="Z22" s="14"/>
      <c r="AC22" s="44"/>
      <c r="AD22" s="78"/>
      <c r="AE22" s="14"/>
      <c r="AF22" s="14"/>
      <c r="AH22" s="14"/>
    </row>
    <row r="23" spans="5:34" x14ac:dyDescent="0.45">
      <c r="E23" s="44"/>
      <c r="G23" s="14"/>
      <c r="H23" s="14"/>
      <c r="M23" s="44"/>
      <c r="O23" s="14"/>
      <c r="P23" s="14"/>
      <c r="R23" s="14"/>
      <c r="U23" s="44"/>
      <c r="W23" s="14"/>
      <c r="X23" s="14"/>
      <c r="Z23" s="14"/>
      <c r="AC23" s="44"/>
      <c r="AE23" s="14"/>
      <c r="AF23" s="14"/>
      <c r="AH23" s="14"/>
    </row>
    <row r="24" spans="5:34" x14ac:dyDescent="0.45">
      <c r="E24" s="44" t="s">
        <v>101</v>
      </c>
      <c r="F24" s="78" t="s">
        <v>90</v>
      </c>
      <c r="G24" s="14">
        <f>G12</f>
        <v>5340.8921131297102</v>
      </c>
      <c r="H24" s="14">
        <f>H12</f>
        <v>418.14550056834003</v>
      </c>
      <c r="M24" s="44" t="s">
        <v>101</v>
      </c>
      <c r="N24" s="78" t="s">
        <v>90</v>
      </c>
      <c r="O24" s="14">
        <f>O12</f>
        <v>6275.7063728555459</v>
      </c>
      <c r="P24" s="14">
        <f>P12</f>
        <v>446.10325681719377</v>
      </c>
      <c r="R24" s="14"/>
      <c r="U24" s="44" t="s">
        <v>101</v>
      </c>
      <c r="V24" s="78" t="s">
        <v>90</v>
      </c>
      <c r="W24" s="14">
        <f>W12</f>
        <v>6473.6515200728209</v>
      </c>
      <c r="X24" s="14">
        <f>X12</f>
        <v>452.02325869881582</v>
      </c>
      <c r="Z24" s="14"/>
      <c r="AC24" s="44"/>
      <c r="AD24" s="78"/>
      <c r="AE24" s="14"/>
      <c r="AF24" s="14"/>
      <c r="AH24" s="14"/>
    </row>
    <row r="25" spans="5:34" x14ac:dyDescent="0.45">
      <c r="E25" s="44" t="s">
        <v>101</v>
      </c>
      <c r="F25" s="78" t="s">
        <v>90</v>
      </c>
      <c r="G25" s="14">
        <v>0</v>
      </c>
      <c r="H25" s="14">
        <f>H12</f>
        <v>418.14550056834003</v>
      </c>
      <c r="M25" s="44" t="s">
        <v>101</v>
      </c>
      <c r="N25" s="78" t="s">
        <v>90</v>
      </c>
      <c r="O25" s="14">
        <v>0</v>
      </c>
      <c r="P25" s="14">
        <f>P12</f>
        <v>446.10325681719377</v>
      </c>
      <c r="R25" s="14"/>
      <c r="U25" s="44" t="s">
        <v>101</v>
      </c>
      <c r="V25" s="78" t="s">
        <v>90</v>
      </c>
      <c r="W25" s="14">
        <v>0</v>
      </c>
      <c r="X25" s="14">
        <f>X12</f>
        <v>452.02325869881582</v>
      </c>
      <c r="Z25" s="14"/>
      <c r="AC25" s="44"/>
      <c r="AD25" s="78"/>
      <c r="AE25" s="14"/>
      <c r="AF25" s="14"/>
      <c r="AH25" s="14"/>
    </row>
    <row r="26" spans="5:34" x14ac:dyDescent="0.45">
      <c r="L26" s="14"/>
      <c r="M26" s="14"/>
      <c r="N26" s="76"/>
      <c r="R26" s="76"/>
      <c r="T26" s="14"/>
      <c r="U26" s="14"/>
      <c r="V26" s="76"/>
      <c r="Z26" s="76"/>
      <c r="AB26" s="14"/>
      <c r="AC26" s="14"/>
      <c r="AD26" s="76"/>
      <c r="AH26" s="76"/>
    </row>
    <row r="27" spans="5:34" x14ac:dyDescent="0.45">
      <c r="L27" s="14"/>
      <c r="M27" s="14"/>
      <c r="N27" s="77"/>
      <c r="R27" s="77"/>
      <c r="T27" s="14"/>
      <c r="U27" s="14"/>
      <c r="V27" s="77"/>
      <c r="Z27" s="77"/>
      <c r="AB27" s="14"/>
      <c r="AC27" s="14"/>
      <c r="AD27" s="77"/>
      <c r="AH27" s="77"/>
    </row>
    <row r="28" spans="5:34" x14ac:dyDescent="0.45">
      <c r="L28" s="14"/>
      <c r="M28" s="14"/>
      <c r="N28" s="77"/>
      <c r="R28" s="77"/>
      <c r="T28" s="14"/>
      <c r="U28" s="14"/>
      <c r="V28" s="77"/>
      <c r="Z28" s="77"/>
      <c r="AB28" s="14"/>
      <c r="AC28" s="14"/>
      <c r="AD28" s="77"/>
      <c r="AH28" s="77"/>
    </row>
    <row r="29" spans="5:34" x14ac:dyDescent="0.45">
      <c r="L29" s="14"/>
      <c r="M29" s="14"/>
      <c r="N29" s="76"/>
      <c r="R29" s="76"/>
      <c r="T29" s="14"/>
      <c r="U29" s="14"/>
      <c r="V29" s="76"/>
      <c r="Z29" s="76"/>
      <c r="AB29" s="14"/>
      <c r="AC29" s="14"/>
      <c r="AD29" s="76"/>
      <c r="AH29" s="76"/>
    </row>
    <row r="37" spans="5:33" s="72" customFormat="1" ht="20" customHeight="1" x14ac:dyDescent="0.45">
      <c r="G37" s="79" t="s">
        <v>149</v>
      </c>
      <c r="H37" s="75" t="str">
        <f>IF($G$2=1,$C$2,IF($G$2=2,$C$3,IF($G$2=3,$C$4,IF($G$2=4,$C$5,IF($G$2=5,$C$6)))))</f>
        <v>Demersals</v>
      </c>
      <c r="O37" s="79" t="s">
        <v>150</v>
      </c>
      <c r="P37" s="75" t="str">
        <f>IF($G$2=1,$C$2,IF($G$2=2,$C$3,IF($G$2=3,$C$4,IF($G$2=4,$C$5,IF($G$2=5,$C$6)))))</f>
        <v>Demersals</v>
      </c>
      <c r="Q37" s="75"/>
      <c r="W37" s="79" t="s">
        <v>152</v>
      </c>
      <c r="X37" s="75" t="str">
        <f>IF($G$2=1,$C$2,IF($G$2=2,$C$3,IF($G$2=3,$C$4,IF($G$2=4,$C$5,IF($G$2=5,$C$6)))))</f>
        <v>Demersals</v>
      </c>
      <c r="Y37" s="75"/>
      <c r="AE37" s="79" t="s">
        <v>151</v>
      </c>
      <c r="AF37" s="75" t="str">
        <f>IF($G$2=1,$C$2,IF($G$2=2,$C$3,IF($G$2=3,$C$4,IF($G$2=4,$C$5,IF($G$2=5,$C$6)))))</f>
        <v>Demersals</v>
      </c>
      <c r="AG37" s="75"/>
    </row>
    <row r="39" spans="5:33" x14ac:dyDescent="0.45">
      <c r="G39" s="74" t="s">
        <v>94</v>
      </c>
      <c r="H39" s="74" t="s">
        <v>95</v>
      </c>
    </row>
    <row r="41" spans="5:33" x14ac:dyDescent="0.45">
      <c r="E41" s="44"/>
      <c r="F41" s="78"/>
      <c r="G41" s="14"/>
      <c r="H41" s="14"/>
    </row>
    <row r="42" spans="5:33" x14ac:dyDescent="0.45">
      <c r="E42" s="44"/>
      <c r="F42" s="78"/>
      <c r="G42" s="14"/>
      <c r="H42" s="14"/>
    </row>
    <row r="43" spans="5:33" x14ac:dyDescent="0.45">
      <c r="E43" s="44"/>
      <c r="F43" s="78"/>
      <c r="G43" s="14"/>
      <c r="H43" s="14"/>
    </row>
    <row r="44" spans="5:33" x14ac:dyDescent="0.45">
      <c r="E44" s="44"/>
      <c r="G44" s="14"/>
      <c r="H44" s="14"/>
    </row>
    <row r="45" spans="5:33" x14ac:dyDescent="0.45">
      <c r="E45" s="44" t="s">
        <v>103</v>
      </c>
      <c r="F45" s="78" t="s">
        <v>90</v>
      </c>
      <c r="G45" s="14">
        <f>G48+IF($G$2=1,'Base &amp; Ref. Case Calcs.'!$AA$17,IF($G$2=2,'Base &amp; Ref. Case Calcs.'!$AA$18,IF($G$2=3,'Base &amp; Ref. Case Calcs.'!$AA$19,IF($G$2=4,'Base &amp; Ref. Case Calcs.'!$AA$20,IF($G$2=5,'Base &amp; Ref. Case Calcs.'!$AA$21)))))*H45</f>
        <v>16700.390117452618</v>
      </c>
      <c r="H45" s="14">
        <f>$P16</f>
        <v>735.49859652256089</v>
      </c>
      <c r="M45" s="44" t="s">
        <v>103</v>
      </c>
      <c r="N45" s="78" t="s">
        <v>90</v>
      </c>
      <c r="O45" s="14">
        <f>O48+IF($G$2=1,'Base &amp; Ref. Case Calcs.'!$AA$17,IF($G$2=2,'Base &amp; Ref. Case Calcs.'!$AA$18,IF($G$2=3,'Base &amp; Ref. Case Calcs.'!$AA$19,IF($G$2=4,'Base &amp; Ref. Case Calcs.'!$AA$20,IF($G$2=5,'Base &amp; Ref. Case Calcs.'!$AA$21)))))*P45</f>
        <v>17423.876653470383</v>
      </c>
      <c r="P45" s="14">
        <f>$X16</f>
        <v>750.54655942061061</v>
      </c>
      <c r="U45" s="44" t="s">
        <v>103</v>
      </c>
      <c r="V45" s="78" t="s">
        <v>90</v>
      </c>
      <c r="W45" s="14">
        <f>W48+IF($G$2=1,'Base &amp; Ref. Case Calcs.'!$AA$17,IF($G$2=2,'Base &amp; Ref. Case Calcs.'!$AA$18,IF($G$2=3,'Base &amp; Ref. Case Calcs.'!$AA$19,IF($G$2=4,'Base &amp; Ref. Case Calcs.'!$AA$20,IF($G$2=5,'Base &amp; Ref. Case Calcs.'!$AA$21)))))*X45</f>
        <v>16989.846896034098</v>
      </c>
      <c r="X45" s="14">
        <f>$P16</f>
        <v>735.49859652256089</v>
      </c>
      <c r="AC45" s="44" t="s">
        <v>103</v>
      </c>
      <c r="AD45" s="78" t="s">
        <v>90</v>
      </c>
      <c r="AE45" s="14">
        <f>AE48+IF($G$2=1,'Base &amp; Ref. Case Calcs.'!$AA$17,IF($G$2=2,'Base &amp; Ref. Case Calcs.'!$AA$18,IF($G$2=3,'Base &amp; Ref. Case Calcs.'!$AA$19,IF($G$2=4,'Base &amp; Ref. Case Calcs.'!$AA$20,IF($G$2=5,'Base &amp; Ref. Case Calcs.'!$AA$21)))))*AF45</f>
        <v>17515.465962514074</v>
      </c>
      <c r="AF45" s="14">
        <f>$X16</f>
        <v>750.54655942061061</v>
      </c>
    </row>
    <row r="46" spans="5:33" x14ac:dyDescent="0.45">
      <c r="E46" s="44" t="s">
        <v>102</v>
      </c>
      <c r="F46" s="78" t="s">
        <v>90</v>
      </c>
      <c r="G46" s="14">
        <f>IF($G$2=1,'Climate Case Calcs.'!G17,IF($G$2=2,'Climate Case Calcs.'!G18,IF($G$2=3,'Climate Case Calcs.'!G19,IF($G$2=4,'Climate Case Calcs.'!G20,IF($G$2=5,'Climate Case Calcs.'!G21)))))</f>
        <v>6570.0813850328523</v>
      </c>
      <c r="H46" s="14">
        <f>IF($G$2=1,'Climate Case Calcs.'!F17,IF($G$2=2,'Climate Case Calcs.'!F18,IF($G$2=3,'Climate Case Calcs.'!F19,IF($G$2=4,'Climate Case Calcs.'!F20,IF($G$2=5,'Climate Case Calcs.'!F21)))))</f>
        <v>432.52856871223378</v>
      </c>
      <c r="M46" s="44" t="s">
        <v>102</v>
      </c>
      <c r="N46" s="78" t="s">
        <v>90</v>
      </c>
      <c r="O46" s="14">
        <f>IF($G$2=1,'Climate Case Calcs.'!N17,IF($G$2=2,'Climate Case Calcs.'!N18,IF($G$2=3,'Climate Case Calcs.'!N19,IF($G$2=4,'Climate Case Calcs.'!N20,IF($G$2=5,'Climate Case Calcs.'!N21)))))</f>
        <v>6854.7073961129609</v>
      </c>
      <c r="P46" s="14">
        <f>IF($G$2=1,'Climate Case Calcs.'!M17,IF($G$2=2,'Climate Case Calcs.'!M18,IF($G$2=3,'Climate Case Calcs.'!M19,IF($G$2=4,'Climate Case Calcs.'!M20,IF($G$2=5,'Climate Case Calcs.'!M21)))))</f>
        <v>434.45140492784566</v>
      </c>
      <c r="U46" s="44" t="s">
        <v>102</v>
      </c>
      <c r="V46" s="78" t="s">
        <v>90</v>
      </c>
      <c r="W46" s="14">
        <f>IF($G$2=1,'Climate Case Calcs.'!U17,IF($G$2=2,'Climate Case Calcs.'!U18,IF($G$2=3,'Climate Case Calcs.'!U19,IF($G$2=4,'Climate Case Calcs.'!U20,IF($G$2=5,'Climate Case Calcs.'!U21)))))</f>
        <v>6683.9562454016741</v>
      </c>
      <c r="X46" s="14">
        <f>IF($G$2=1,'Climate Case Calcs.'!T17,IF($G$2=2,'Climate Case Calcs.'!T18,IF($G$2=3,'Climate Case Calcs.'!T19,IF($G$2=4,'Climate Case Calcs.'!T20,IF($G$2=5,'Climate Case Calcs.'!T21)))))</f>
        <v>427.27739028825965</v>
      </c>
      <c r="AC46" s="44" t="s">
        <v>102</v>
      </c>
      <c r="AD46" s="78" t="s">
        <v>90</v>
      </c>
      <c r="AE46" s="14">
        <f>IF($G$2=1,'Climate Case Calcs.'!AB17,IF($G$2=2,'Climate Case Calcs.'!AB18,IF($G$2=3,'Climate Case Calcs.'!AB19,IF($G$2=4,'Climate Case Calcs.'!AB20,IF($G$2=5,'Climate Case Calcs.'!AB21)))))</f>
        <v>6890.7394414833952</v>
      </c>
      <c r="AF46" s="14">
        <f>IF($G$2=1,'Climate Case Calcs.'!AA17,IF($G$2=2,'Climate Case Calcs.'!AA18,IF($G$2=3,'Climate Case Calcs.'!AA19,IF($G$2=4,'Climate Case Calcs.'!AA20,IF($G$2=5,'Climate Case Calcs.'!AA21)))))</f>
        <v>432.78983802354344</v>
      </c>
    </row>
    <row r="47" spans="5:33" x14ac:dyDescent="0.45">
      <c r="E47" s="44" t="s">
        <v>97</v>
      </c>
      <c r="F47" s="78" t="s">
        <v>90</v>
      </c>
      <c r="G47" s="14">
        <v>0</v>
      </c>
      <c r="H47" s="14">
        <f>G48*-1/IF($G$2=1,'Base &amp; Ref. Case Calcs.'!$AA$17,IF($G$2=2,'Base &amp; Ref. Case Calcs.'!$AA$18,IF($G$2=3,'Base &amp; Ref. Case Calcs.'!$AA$19,IF($G$2=4,'Base &amp; Ref. Case Calcs.'!$AA$20,IF($G$2=5,'Base &amp; Ref. Case Calcs.'!$AA$21)))))</f>
        <v>236.03527393541722</v>
      </c>
      <c r="M47" s="44" t="s">
        <v>97</v>
      </c>
      <c r="N47" s="78" t="s">
        <v>90</v>
      </c>
      <c r="O47" s="14">
        <v>0</v>
      </c>
      <c r="P47" s="14">
        <f>O48*-1/IF($G$2=1,'Base &amp; Ref. Case Calcs.'!$AA$17,IF($G$2=2,'Base &amp; Ref. Case Calcs.'!$AA$18,IF($G$2=3,'Base &amp; Ref. Case Calcs.'!$AA$19,IF($G$2=4,'Base &amp; Ref. Case Calcs.'!$AA$20,IF($G$2=5,'Base &amp; Ref. Case Calcs.'!$AA$21)))))</f>
        <v>229.44571899196077</v>
      </c>
      <c r="U47" s="44" t="s">
        <v>97</v>
      </c>
      <c r="V47" s="78" t="s">
        <v>90</v>
      </c>
      <c r="W47" s="14">
        <v>0</v>
      </c>
      <c r="X47" s="14">
        <f>W48*-1/IF($G$2=1,'Base &amp; Ref. Case Calcs.'!$AA$17,IF($G$2=2,'Base &amp; Ref. Case Calcs.'!$AA$18,IF($G$2=3,'Base &amp; Ref. Case Calcs.'!$AA$19,IF($G$2=4,'Base &amp; Ref. Case Calcs.'!$AA$20,IF($G$2=5,'Base &amp; Ref. Case Calcs.'!$AA$21)))))</f>
        <v>227.37840763715087</v>
      </c>
      <c r="AC47" s="44" t="s">
        <v>97</v>
      </c>
      <c r="AD47" s="78" t="s">
        <v>90</v>
      </c>
      <c r="AE47" s="14">
        <v>0</v>
      </c>
      <c r="AF47" s="14">
        <f>AE48*-1/IF($G$2=1,'Base &amp; Ref. Case Calcs.'!$AA$17,IF($G$2=2,'Base &amp; Ref. Case Calcs.'!$AA$18,IF($G$2=3,'Base &amp; Ref. Case Calcs.'!$AA$19,IF($G$2=4,'Base &amp; Ref. Case Calcs.'!$AA$20,IF($G$2=5,'Base &amp; Ref. Case Calcs.'!$AA$21)))))</f>
        <v>226.70653144683766</v>
      </c>
    </row>
    <row r="48" spans="5:33" x14ac:dyDescent="0.45">
      <c r="E48" s="44" t="s">
        <v>99</v>
      </c>
      <c r="F48" s="78" t="s">
        <v>90</v>
      </c>
      <c r="G48" s="14">
        <f>IF($G$2=1,'Climate Case Calcs.'!E17,IF($G$2=2,'Climate Case Calcs.'!E18,IF($G$2=3,'Climate Case Calcs.'!E19,IF($G$2=4,'Climate Case Calcs.'!E20,IF($G$2=5,'Climate Case Calcs.'!E21)))))</f>
        <v>-7892.2334792931779</v>
      </c>
      <c r="H48" s="14">
        <v>0</v>
      </c>
      <c r="M48" s="44" t="s">
        <v>99</v>
      </c>
      <c r="N48" s="78" t="s">
        <v>90</v>
      </c>
      <c r="O48" s="14">
        <f>IF($G$2=1,'Climate Case Calcs.'!L17,IF($G$2=2,'Climate Case Calcs.'!L18,IF($G$2=3,'Climate Case Calcs.'!L19,IF($G$2=4,'Climate Case Calcs.'!L20,IF($G$2=5,'Climate Case Calcs.'!L21)))))</f>
        <v>-7671.9007075371283</v>
      </c>
      <c r="P48" s="14">
        <v>0</v>
      </c>
      <c r="U48" s="44" t="s">
        <v>99</v>
      </c>
      <c r="V48" s="78" t="s">
        <v>90</v>
      </c>
      <c r="W48" s="14">
        <f>IF($G$2=1,'Climate Case Calcs.'!S17,IF($G$2=2,'Climate Case Calcs.'!S18,IF($G$2=3,'Climate Case Calcs.'!S19,IF($G$2=4,'Climate Case Calcs.'!S20,IF($G$2=5,'Climate Case Calcs.'!S21)))))</f>
        <v>-7602.7767007117</v>
      </c>
      <c r="X48" s="14">
        <v>0</v>
      </c>
      <c r="AC48" s="44" t="s">
        <v>99</v>
      </c>
      <c r="AD48" s="78" t="s">
        <v>90</v>
      </c>
      <c r="AE48" s="14">
        <f>IF($G$2=1,'Climate Case Calcs.'!Z17,IF($G$2=2,'Climate Case Calcs.'!Z18,IF($G$2=3,'Climate Case Calcs.'!Z19,IF($G$2=4,'Climate Case Calcs.'!Z20,IF($G$2=5,'Climate Case Calcs.'!Z21)))))</f>
        <v>-7580.3113984934362</v>
      </c>
      <c r="AF48" s="14">
        <v>0</v>
      </c>
    </row>
    <row r="49" spans="5:32" x14ac:dyDescent="0.45">
      <c r="E49" s="44"/>
      <c r="G49" s="14"/>
      <c r="H49" s="14"/>
      <c r="M49" s="44"/>
      <c r="O49" s="14"/>
      <c r="P49" s="14"/>
      <c r="U49" s="44"/>
      <c r="W49" s="14"/>
      <c r="X49" s="14"/>
      <c r="AC49" s="44"/>
      <c r="AE49" s="14"/>
      <c r="AF49" s="14"/>
    </row>
    <row r="50" spans="5:32" x14ac:dyDescent="0.45">
      <c r="E50" s="44" t="s">
        <v>100</v>
      </c>
      <c r="F50" s="78" t="s">
        <v>90</v>
      </c>
      <c r="G50" s="14">
        <f>G46</f>
        <v>6570.0813850328523</v>
      </c>
      <c r="H50" s="14">
        <v>0</v>
      </c>
      <c r="M50" s="44" t="s">
        <v>100</v>
      </c>
      <c r="N50" s="78" t="s">
        <v>90</v>
      </c>
      <c r="O50" s="14">
        <f>O46</f>
        <v>6854.7073961129609</v>
      </c>
      <c r="P50" s="14">
        <v>0</v>
      </c>
      <c r="U50" s="44" t="s">
        <v>100</v>
      </c>
      <c r="V50" s="78" t="s">
        <v>90</v>
      </c>
      <c r="W50" s="14">
        <f>W46</f>
        <v>6683.9562454016741</v>
      </c>
      <c r="X50" s="14">
        <v>0</v>
      </c>
      <c r="AC50" s="44" t="s">
        <v>100</v>
      </c>
      <c r="AD50" s="78" t="s">
        <v>90</v>
      </c>
      <c r="AE50" s="14">
        <f>AE46</f>
        <v>6890.7394414833952</v>
      </c>
      <c r="AF50" s="14">
        <v>0</v>
      </c>
    </row>
    <row r="51" spans="5:32" x14ac:dyDescent="0.45">
      <c r="E51" s="44" t="s">
        <v>100</v>
      </c>
      <c r="F51" s="78" t="s">
        <v>90</v>
      </c>
      <c r="G51" s="14">
        <f>G46</f>
        <v>6570.0813850328523</v>
      </c>
      <c r="H51" s="14">
        <f>H46</f>
        <v>432.52856871223378</v>
      </c>
      <c r="M51" s="44" t="s">
        <v>100</v>
      </c>
      <c r="N51" s="78" t="s">
        <v>90</v>
      </c>
      <c r="O51" s="14">
        <f>O46</f>
        <v>6854.7073961129609</v>
      </c>
      <c r="P51" s="14">
        <f>P46</f>
        <v>434.45140492784566</v>
      </c>
      <c r="U51" s="44" t="s">
        <v>100</v>
      </c>
      <c r="V51" s="78" t="s">
        <v>90</v>
      </c>
      <c r="W51" s="14">
        <f>W46</f>
        <v>6683.9562454016741</v>
      </c>
      <c r="X51" s="14">
        <f>X46</f>
        <v>427.27739028825965</v>
      </c>
      <c r="AC51" s="44" t="s">
        <v>100</v>
      </c>
      <c r="AD51" s="78" t="s">
        <v>90</v>
      </c>
      <c r="AE51" s="14">
        <f>AE46</f>
        <v>6890.7394414833952</v>
      </c>
      <c r="AF51" s="14">
        <f>AF46</f>
        <v>432.78983802354344</v>
      </c>
    </row>
    <row r="52" spans="5:32" x14ac:dyDescent="0.45">
      <c r="E52" s="44"/>
      <c r="G52" s="14"/>
      <c r="H52" s="14"/>
      <c r="M52" s="44"/>
      <c r="O52" s="14"/>
      <c r="P52" s="14"/>
      <c r="U52" s="44"/>
      <c r="W52" s="14"/>
      <c r="X52" s="14"/>
      <c r="AC52" s="44"/>
      <c r="AE52" s="14"/>
      <c r="AF52" s="14"/>
    </row>
    <row r="53" spans="5:32" x14ac:dyDescent="0.45">
      <c r="E53" s="44" t="s">
        <v>101</v>
      </c>
      <c r="F53" s="78" t="s">
        <v>90</v>
      </c>
      <c r="G53" s="14">
        <f>G46</f>
        <v>6570.0813850328523</v>
      </c>
      <c r="H53" s="14">
        <f>H46</f>
        <v>432.52856871223378</v>
      </c>
      <c r="M53" s="44" t="s">
        <v>101</v>
      </c>
      <c r="N53" s="78" t="s">
        <v>90</v>
      </c>
      <c r="O53" s="14">
        <f>O46</f>
        <v>6854.7073961129609</v>
      </c>
      <c r="P53" s="14">
        <f>P46</f>
        <v>434.45140492784566</v>
      </c>
      <c r="U53" s="44" t="s">
        <v>101</v>
      </c>
      <c r="V53" s="78" t="s">
        <v>90</v>
      </c>
      <c r="W53" s="14">
        <f>W46</f>
        <v>6683.9562454016741</v>
      </c>
      <c r="X53" s="14">
        <f>X46</f>
        <v>427.27739028825965</v>
      </c>
      <c r="AC53" s="44" t="s">
        <v>101</v>
      </c>
      <c r="AD53" s="78" t="s">
        <v>90</v>
      </c>
      <c r="AE53" s="14">
        <f>AE46</f>
        <v>6890.7394414833952</v>
      </c>
      <c r="AF53" s="14">
        <f>AF46</f>
        <v>432.78983802354344</v>
      </c>
    </row>
    <row r="54" spans="5:32" x14ac:dyDescent="0.45">
      <c r="E54" s="44" t="s">
        <v>101</v>
      </c>
      <c r="F54" s="78" t="s">
        <v>90</v>
      </c>
      <c r="G54" s="14">
        <v>0</v>
      </c>
      <c r="H54" s="14">
        <f>H46</f>
        <v>432.52856871223378</v>
      </c>
      <c r="M54" s="44" t="s">
        <v>101</v>
      </c>
      <c r="N54" s="78" t="s">
        <v>90</v>
      </c>
      <c r="O54" s="14">
        <v>0</v>
      </c>
      <c r="P54" s="14">
        <f>P46</f>
        <v>434.45140492784566</v>
      </c>
      <c r="U54" s="44" t="s">
        <v>101</v>
      </c>
      <c r="V54" s="78" t="s">
        <v>90</v>
      </c>
      <c r="W54" s="14">
        <v>0</v>
      </c>
      <c r="X54" s="14">
        <f>X46</f>
        <v>427.27739028825965</v>
      </c>
      <c r="AC54" s="44" t="s">
        <v>101</v>
      </c>
      <c r="AD54" s="78" t="s">
        <v>90</v>
      </c>
      <c r="AE54" s="14">
        <v>0</v>
      </c>
      <c r="AF54" s="14">
        <f>AF46</f>
        <v>432.78983802354344</v>
      </c>
    </row>
  </sheetData>
  <sheetProtection algorithmName="SHA-512" hashValue="NmE1apI2CKnPoRY1OfNQG3IYy0ewGOaqHTj8tSNtw33xJRKjB8uarqw1Metdme/pFfBN+CC4J4kyQrviVD2eEA==" saltValue="gQQn1e4+5SXLp/G18mr1qg==" spinCount="100000" sheet="1" objects="1" scenarios="1" selectLockedCell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16F87-72C6-4C0C-9D17-FE3924A453E8}">
  <dimension ref="B2:Z25"/>
  <sheetViews>
    <sheetView showGridLines="0" zoomScale="90" zoomScaleNormal="90" workbookViewId="0"/>
  </sheetViews>
  <sheetFormatPr defaultRowHeight="14.25" x14ac:dyDescent="0.45"/>
  <cols>
    <col min="1" max="16384" width="9.06640625" style="7"/>
  </cols>
  <sheetData>
    <row r="2" spans="2:26" ht="20" customHeight="1" x14ac:dyDescent="0.45">
      <c r="B2" s="73" t="s">
        <v>144</v>
      </c>
      <c r="N2" s="73" t="s">
        <v>145</v>
      </c>
      <c r="Z2" s="73" t="s">
        <v>148</v>
      </c>
    </row>
    <row r="25" spans="2:14" ht="20" customHeight="1" x14ac:dyDescent="0.45">
      <c r="B25" s="73" t="s">
        <v>146</v>
      </c>
      <c r="N25" s="73" t="s">
        <v>147</v>
      </c>
    </row>
  </sheetData>
  <sheetProtection algorithmName="SHA-512" hashValue="AdwBRpDw5OTQkBQ51O99rbhmA3wnRtN1DrOHIZGGMdKgkqhpxvKyvGy7CnPHKsRKm88vZSzn3abyggs/X8hR8g==" saltValue="Pqhxn+nZyvTOx+ZoAOIh6g==" spinCount="100000" sheet="1" objects="1" scenarios="1" selectLockedCell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F67D4-E345-489F-BF2D-98D5B7BDC0FA}">
  <dimension ref="B1:U71"/>
  <sheetViews>
    <sheetView showGridLines="0" zoomScale="90" zoomScaleNormal="90" workbookViewId="0">
      <selection activeCell="B57" sqref="B57"/>
    </sheetView>
  </sheetViews>
  <sheetFormatPr defaultRowHeight="14.25" x14ac:dyDescent="0.45"/>
  <cols>
    <col min="1" max="1" width="9.06640625" style="7"/>
    <col min="2" max="2" width="18.59765625" style="2" customWidth="1"/>
    <col min="3" max="4" width="12.59765625" style="2" customWidth="1"/>
    <col min="5" max="5" width="1.59765625" style="2" customWidth="1"/>
    <col min="6" max="7" width="12.59765625" style="2" customWidth="1"/>
    <col min="8" max="8" width="1.59765625" style="2" customWidth="1"/>
    <col min="9" max="10" width="12.59765625" style="2" customWidth="1"/>
    <col min="11" max="11" width="1.59765625" style="7" customWidth="1"/>
    <col min="12" max="12" width="18.59765625" style="2" customWidth="1"/>
    <col min="13" max="14" width="12.59765625" style="2" customWidth="1"/>
    <col min="15" max="15" width="1.59765625" style="2" customWidth="1"/>
    <col min="16" max="17" width="12.59765625" style="2" customWidth="1"/>
    <col min="18" max="18" width="1.59765625" style="2" customWidth="1"/>
    <col min="19" max="20" width="12.59765625" style="2" customWidth="1"/>
    <col min="21" max="21" width="9.06640625" style="2"/>
    <col min="22" max="16384" width="9.06640625" style="7"/>
  </cols>
  <sheetData>
    <row r="1" spans="2:21" ht="5" customHeight="1" x14ac:dyDescent="0.45"/>
    <row r="2" spans="2:21" ht="30" customHeight="1" x14ac:dyDescent="0.45">
      <c r="B2" s="159" t="s">
        <v>157</v>
      </c>
      <c r="C2" s="159"/>
      <c r="D2" s="159"/>
      <c r="E2" s="159"/>
      <c r="F2" s="159"/>
      <c r="G2" s="159"/>
      <c r="H2" s="159"/>
      <c r="I2" s="159"/>
      <c r="J2" s="159"/>
      <c r="L2" s="159" t="s">
        <v>160</v>
      </c>
      <c r="M2" s="159"/>
      <c r="N2" s="159"/>
      <c r="O2" s="159"/>
      <c r="P2" s="159"/>
      <c r="Q2" s="159"/>
      <c r="R2" s="159"/>
      <c r="S2" s="159"/>
      <c r="T2" s="159"/>
    </row>
    <row r="3" spans="2:21" ht="5" customHeight="1" thickBot="1" x14ac:dyDescent="0.5">
      <c r="B3" s="41"/>
      <c r="C3" s="41"/>
      <c r="D3" s="41"/>
      <c r="E3" s="41"/>
      <c r="F3" s="41"/>
      <c r="G3" s="41"/>
      <c r="H3" s="41"/>
      <c r="I3" s="41"/>
      <c r="J3" s="41"/>
      <c r="L3" s="41"/>
      <c r="M3" s="41"/>
      <c r="N3" s="41"/>
      <c r="O3" s="41"/>
      <c r="P3" s="41"/>
      <c r="Q3" s="41"/>
      <c r="R3" s="41"/>
      <c r="S3" s="41"/>
      <c r="T3" s="41"/>
    </row>
    <row r="4" spans="2:21" ht="5" customHeight="1" x14ac:dyDescent="0.45">
      <c r="B4" s="13"/>
      <c r="C4" s="13"/>
      <c r="D4" s="13"/>
      <c r="E4" s="13"/>
      <c r="F4" s="13"/>
      <c r="G4" s="13"/>
      <c r="H4" s="13"/>
      <c r="I4" s="13"/>
      <c r="J4" s="13"/>
      <c r="L4" s="13"/>
      <c r="M4" s="13"/>
      <c r="N4" s="13"/>
      <c r="O4" s="13"/>
      <c r="P4" s="13"/>
      <c r="Q4" s="13"/>
      <c r="R4" s="13"/>
      <c r="S4" s="13"/>
      <c r="T4" s="13"/>
    </row>
    <row r="5" spans="2:21" ht="25.05" customHeight="1" thickBot="1" x14ac:dyDescent="0.5">
      <c r="B5" s="13"/>
      <c r="C5" s="160" t="s">
        <v>158</v>
      </c>
      <c r="D5" s="160"/>
      <c r="E5" s="13"/>
      <c r="F5" s="161" t="s">
        <v>159</v>
      </c>
      <c r="G5" s="161"/>
      <c r="H5" s="161"/>
      <c r="I5" s="161"/>
      <c r="J5" s="161"/>
      <c r="L5" s="13"/>
      <c r="M5" s="160" t="s">
        <v>158</v>
      </c>
      <c r="N5" s="160"/>
      <c r="O5" s="13"/>
      <c r="P5" s="161" t="s">
        <v>159</v>
      </c>
      <c r="Q5" s="161"/>
      <c r="R5" s="161"/>
      <c r="S5" s="161"/>
      <c r="T5" s="161"/>
    </row>
    <row r="6" spans="2:21" ht="25.05" customHeight="1" thickTop="1" thickBot="1" x14ac:dyDescent="0.5">
      <c r="B6" s="15"/>
      <c r="C6" s="157" t="s">
        <v>161</v>
      </c>
      <c r="D6" s="157"/>
      <c r="E6" s="15"/>
      <c r="F6" s="158" t="s">
        <v>16</v>
      </c>
      <c r="G6" s="158"/>
      <c r="H6" s="20"/>
      <c r="I6" s="158" t="s">
        <v>17</v>
      </c>
      <c r="J6" s="158"/>
      <c r="L6" s="15"/>
      <c r="M6" s="157" t="s">
        <v>162</v>
      </c>
      <c r="N6" s="157"/>
      <c r="O6" s="15"/>
      <c r="P6" s="158" t="s">
        <v>16</v>
      </c>
      <c r="Q6" s="158"/>
      <c r="R6" s="97"/>
      <c r="S6" s="158" t="s">
        <v>17</v>
      </c>
      <c r="T6" s="158"/>
      <c r="U6" s="15"/>
    </row>
    <row r="7" spans="2:21" ht="25.05" customHeight="1" thickTop="1" x14ac:dyDescent="0.45">
      <c r="B7" s="122"/>
      <c r="C7" s="111">
        <v>2035</v>
      </c>
      <c r="D7" s="110">
        <v>2055</v>
      </c>
      <c r="E7" s="62"/>
      <c r="F7" s="118">
        <v>2035</v>
      </c>
      <c r="G7" s="119">
        <v>2055</v>
      </c>
      <c r="H7" s="63"/>
      <c r="I7" s="118">
        <v>2035</v>
      </c>
      <c r="J7" s="120">
        <v>2055</v>
      </c>
      <c r="K7" s="83"/>
      <c r="L7" s="62"/>
      <c r="M7" s="111">
        <v>2035</v>
      </c>
      <c r="N7" s="110">
        <v>2055</v>
      </c>
      <c r="O7" s="62"/>
      <c r="P7" s="118">
        <v>2035</v>
      </c>
      <c r="Q7" s="119">
        <v>2055</v>
      </c>
      <c r="R7" s="126"/>
      <c r="S7" s="118">
        <v>2035</v>
      </c>
      <c r="T7" s="120">
        <v>2055</v>
      </c>
      <c r="U7" s="15"/>
    </row>
    <row r="8" spans="2:21" s="19" customFormat="1" ht="5" customHeight="1" x14ac:dyDescent="0.45">
      <c r="B8" s="64"/>
      <c r="C8" s="123"/>
      <c r="D8" s="124"/>
      <c r="E8" s="64"/>
      <c r="F8" s="125"/>
      <c r="G8" s="124"/>
      <c r="H8" s="46"/>
      <c r="I8" s="125"/>
      <c r="J8" s="123"/>
      <c r="K8" s="84"/>
      <c r="L8" s="64"/>
      <c r="M8" s="123"/>
      <c r="N8" s="123"/>
      <c r="O8" s="64"/>
      <c r="P8" s="121"/>
      <c r="Q8" s="121"/>
      <c r="R8" s="127"/>
      <c r="S8" s="121"/>
      <c r="T8" s="121"/>
      <c r="U8" s="60"/>
    </row>
    <row r="9" spans="2:21" ht="20" customHeight="1" thickBot="1" x14ac:dyDescent="0.5">
      <c r="B9" s="36" t="str">
        <f>'Base &amp; Ref. Case Calcs.'!D6</f>
        <v>Demersals</v>
      </c>
      <c r="C9" s="112">
        <f>'Base &amp; Ref. Case Calcs.'!AC6</f>
        <v>446.10325681719377</v>
      </c>
      <c r="D9" s="113">
        <f>'Base &amp; Ref. Case Calcs.'!AK6</f>
        <v>452.02325869881582</v>
      </c>
      <c r="E9" s="108"/>
      <c r="F9" s="128">
        <f>'Climate Case Calcs.'!D6/C9-1</f>
        <v>-3.0429475457792288E-2</v>
      </c>
      <c r="G9" s="129">
        <f>'Climate Case Calcs.'!K6/D9-1</f>
        <v>-3.8873782339325036E-2</v>
      </c>
      <c r="H9" s="130"/>
      <c r="I9" s="128">
        <f>'Climate Case Calcs.'!R6/C9-1</f>
        <v>-4.2200692869293843E-2</v>
      </c>
      <c r="J9" s="131">
        <f>'Climate Case Calcs.'!Y6/D9-1</f>
        <v>-4.2549626164452903E-2</v>
      </c>
      <c r="L9" s="36" t="str">
        <f>'Base &amp; Ref. Case Calcs.'!D6</f>
        <v>Demersals</v>
      </c>
      <c r="M9" s="112">
        <f>'Base &amp; Ref. Case Calcs.'!Z6</f>
        <v>6275.7063728555459</v>
      </c>
      <c r="N9" s="112">
        <f>'Base &amp; Ref. Case Calcs.'!AH6</f>
        <v>6473.6515200728209</v>
      </c>
      <c r="O9" s="55"/>
      <c r="P9" s="131">
        <f>'Climate Case Calcs.'!E6/M9-1</f>
        <v>4.690707223820656E-2</v>
      </c>
      <c r="Q9" s="131">
        <f>'Climate Case Calcs.'!L6/N9-1</f>
        <v>5.8862587035864555E-2</v>
      </c>
      <c r="R9" s="132"/>
      <c r="S9" s="131">
        <f>'Climate Case Calcs.'!S6/M9-1</f>
        <v>6.5052417734510426E-2</v>
      </c>
      <c r="T9" s="131">
        <f>'Climate Case Calcs.'!Z6/N9-1</f>
        <v>6.4428540850138827E-2</v>
      </c>
      <c r="U9" s="15"/>
    </row>
    <row r="10" spans="2:21" ht="20" customHeight="1" thickTop="1" thickBot="1" x14ac:dyDescent="0.5">
      <c r="B10" s="36" t="str">
        <f>'Base &amp; Ref. Case Calcs.'!D7</f>
        <v>Tuna &amp; billfishes</v>
      </c>
      <c r="C10" s="114">
        <f>'Base &amp; Ref. Case Calcs.'!AC7</f>
        <v>175.72746770912002</v>
      </c>
      <c r="D10" s="115">
        <f>'Base &amp; Ref. Case Calcs.'!AK7</f>
        <v>181.52340449728032</v>
      </c>
      <c r="E10" s="108"/>
      <c r="F10" s="128">
        <f>'Climate Case Calcs.'!D7/C10-1</f>
        <v>-1.2496325288299803E-2</v>
      </c>
      <c r="G10" s="129">
        <f>'Climate Case Calcs.'!K7/D10-1</f>
        <v>-1.4543377390196621E-2</v>
      </c>
      <c r="H10" s="130"/>
      <c r="I10" s="128">
        <f>'Climate Case Calcs.'!R7/C10-1</f>
        <v>-1.7165281989422798E-2</v>
      </c>
      <c r="J10" s="131">
        <f>'Climate Case Calcs.'!Y7/D10-1</f>
        <v>-1.9275957235635355E-2</v>
      </c>
      <c r="L10" s="36" t="str">
        <f>'Base &amp; Ref. Case Calcs.'!D7</f>
        <v>Tuna &amp; billfishes</v>
      </c>
      <c r="M10" s="114">
        <f>'Base &amp; Ref. Case Calcs.'!Z7</f>
        <v>3027.3542275443879</v>
      </c>
      <c r="N10" s="114">
        <f>'Base &amp; Ref. Case Calcs.'!AH7</f>
        <v>3172.5898732837377</v>
      </c>
      <c r="O10" s="55"/>
      <c r="P10" s="131">
        <f>'Climate Case Calcs.'!E7/M10-1</f>
        <v>2.318681948784751E-2</v>
      </c>
      <c r="Q10" s="131">
        <f>'Climate Case Calcs.'!L7/N10-1</f>
        <v>2.6599067850382685E-2</v>
      </c>
      <c r="R10" s="132"/>
      <c r="S10" s="131">
        <f>'Climate Case Calcs.'!S7/M10-1</f>
        <v>3.1850026769021156E-2</v>
      </c>
      <c r="T10" s="131">
        <f>'Climate Case Calcs.'!Z7/N10-1</f>
        <v>3.5254706017417536E-2</v>
      </c>
      <c r="U10" s="15"/>
    </row>
    <row r="11" spans="2:21" ht="20" customHeight="1" thickTop="1" thickBot="1" x14ac:dyDescent="0.5">
      <c r="B11" s="36" t="str">
        <f>'Base &amp; Ref. Case Calcs.'!D8</f>
        <v>Other palegic</v>
      </c>
      <c r="C11" s="114">
        <f>'Base &amp; Ref. Case Calcs.'!AC8</f>
        <v>1153.8492797118422</v>
      </c>
      <c r="D11" s="115">
        <f>'Base &amp; Ref. Case Calcs.'!AK8</f>
        <v>1163.9651174618643</v>
      </c>
      <c r="E11" s="108"/>
      <c r="F11" s="128">
        <f>'Climate Case Calcs.'!D8/C11-1</f>
        <v>-4.2526599052466807E-2</v>
      </c>
      <c r="G11" s="129">
        <f>'Climate Case Calcs.'!K8/D11-1</f>
        <v>-5.0759558725561038E-2</v>
      </c>
      <c r="H11" s="130"/>
      <c r="I11" s="128">
        <f>'Climate Case Calcs.'!R8/C11-1</f>
        <v>-5.770168888529148E-2</v>
      </c>
      <c r="J11" s="131">
        <f>'Climate Case Calcs.'!Y8/D11-1</f>
        <v>-6.7604345738302651E-2</v>
      </c>
      <c r="L11" s="36" t="str">
        <f>'Base &amp; Ref. Case Calcs.'!D8</f>
        <v>Other palegic</v>
      </c>
      <c r="M11" s="114">
        <f>'Base &amp; Ref. Case Calcs.'!Z8</f>
        <v>3011.0049658650451</v>
      </c>
      <c r="N11" s="114">
        <f>'Base &amp; Ref. Case Calcs.'!AH8</f>
        <v>3092.5376204704371</v>
      </c>
      <c r="O11" s="55"/>
      <c r="P11" s="131">
        <f>'Climate Case Calcs.'!E8/M11-1</f>
        <v>6.4147366404094797E-2</v>
      </c>
      <c r="Q11" s="131">
        <f>'Climate Case Calcs.'!L8/N11-1</f>
        <v>7.5200958924219519E-2</v>
      </c>
      <c r="R11" s="132"/>
      <c r="S11" s="131">
        <f>'Climate Case Calcs.'!S8/M11-1</f>
        <v>8.7037559116666552E-2</v>
      </c>
      <c r="T11" s="131">
        <f>'Climate Case Calcs.'!Z8/N11-1</f>
        <v>0.10015673411291326</v>
      </c>
      <c r="U11" s="15"/>
    </row>
    <row r="12" spans="2:21" ht="20" customHeight="1" thickTop="1" thickBot="1" x14ac:dyDescent="0.5">
      <c r="B12" s="36" t="str">
        <f>'Base &amp; Ref. Case Calcs.'!D9</f>
        <v>Other marine</v>
      </c>
      <c r="C12" s="114">
        <f>'Base &amp; Ref. Case Calcs.'!AC9</f>
        <v>243.91001416775964</v>
      </c>
      <c r="D12" s="115">
        <f>'Base &amp; Ref. Case Calcs.'!AK9</f>
        <v>246.57705995871009</v>
      </c>
      <c r="E12" s="108"/>
      <c r="F12" s="128">
        <f>'Climate Case Calcs.'!D9/C12-1</f>
        <v>-3.6880779373656747E-2</v>
      </c>
      <c r="G12" s="129">
        <f>'Climate Case Calcs.'!K9/D12-1</f>
        <v>-4.4588407308656874E-2</v>
      </c>
      <c r="H12" s="130"/>
      <c r="I12" s="128">
        <f>'Climate Case Calcs.'!R9/C12-1</f>
        <v>-5.026333467369426E-2</v>
      </c>
      <c r="J12" s="131">
        <f>'Climate Case Calcs.'!Y9/D12-1</f>
        <v>-5.7135606486035218E-2</v>
      </c>
      <c r="L12" s="36" t="str">
        <f>'Base &amp; Ref. Case Calcs.'!D9</f>
        <v>Other marine</v>
      </c>
      <c r="M12" s="114">
        <f>'Base &amp; Ref. Case Calcs.'!Z9</f>
        <v>1413.3446443862854</v>
      </c>
      <c r="N12" s="114">
        <f>'Base &amp; Ref. Case Calcs.'!AH9</f>
        <v>1454.8329676132589</v>
      </c>
      <c r="O12" s="55"/>
      <c r="P12" s="131">
        <f>'Climate Case Calcs.'!E9/M12-1</f>
        <v>5.6149707108071656E-2</v>
      </c>
      <c r="Q12" s="131">
        <f>'Climate Case Calcs.'!L9/N12-1</f>
        <v>6.6669522863808339E-2</v>
      </c>
      <c r="R12" s="132"/>
      <c r="S12" s="131">
        <f>'Climate Case Calcs.'!S9/M12-1</f>
        <v>7.6524183277395963E-2</v>
      </c>
      <c r="T12" s="131">
        <f>'Climate Case Calcs.'!Z9/N12-1</f>
        <v>8.5430358536684237E-2</v>
      </c>
      <c r="U12" s="15"/>
    </row>
    <row r="13" spans="2:21" ht="20" customHeight="1" thickTop="1" thickBot="1" x14ac:dyDescent="0.5">
      <c r="B13" s="36" t="str">
        <f>'Base &amp; Ref. Case Calcs.'!D10</f>
        <v>Crustaceans</v>
      </c>
      <c r="C13" s="114">
        <f>'Base &amp; Ref. Case Calcs.'!AC10</f>
        <v>53.975180152411326</v>
      </c>
      <c r="D13" s="115">
        <f>'Base &amp; Ref. Case Calcs.'!AK10</f>
        <v>55.816157466102851</v>
      </c>
      <c r="E13" s="108"/>
      <c r="F13" s="128">
        <f>'Climate Case Calcs.'!D10/C13-1</f>
        <v>0</v>
      </c>
      <c r="G13" s="129">
        <f>'Climate Case Calcs.'!K10/D13-1</f>
        <v>0</v>
      </c>
      <c r="H13" s="130"/>
      <c r="I13" s="128">
        <f>'Climate Case Calcs.'!R10/C13-1</f>
        <v>0</v>
      </c>
      <c r="J13" s="131">
        <f>'Climate Case Calcs.'!Y10/D13-1</f>
        <v>0</v>
      </c>
      <c r="L13" s="36" t="str">
        <f>'Base &amp; Ref. Case Calcs.'!D10</f>
        <v>Crustaceans</v>
      </c>
      <c r="M13" s="114">
        <f>'Base &amp; Ref. Case Calcs.'!Z10</f>
        <v>8351.2455827013473</v>
      </c>
      <c r="N13" s="114">
        <f>'Base &amp; Ref. Case Calcs.'!AH10</f>
        <v>8636.0886089850283</v>
      </c>
      <c r="O13" s="55"/>
      <c r="P13" s="131">
        <f>'Climate Case Calcs.'!E10/M13-1</f>
        <v>0</v>
      </c>
      <c r="Q13" s="131">
        <f>'Climate Case Calcs.'!L10/N13-1</f>
        <v>0</v>
      </c>
      <c r="R13" s="132"/>
      <c r="S13" s="131">
        <f>'Climate Case Calcs.'!S10/M13-1</f>
        <v>0</v>
      </c>
      <c r="T13" s="131">
        <f>'Climate Case Calcs.'!Z10/N13-1</f>
        <v>0</v>
      </c>
      <c r="U13" s="15"/>
    </row>
    <row r="14" spans="2:21" ht="20" customHeight="1" thickTop="1" thickBot="1" x14ac:dyDescent="0.5">
      <c r="B14" s="39" t="str">
        <f>'Base &amp; Ref. Case Calcs.'!D11</f>
        <v>All species</v>
      </c>
      <c r="C14" s="116">
        <f>'Base &amp; Ref. Case Calcs.'!AC11</f>
        <v>2073.5651985583268</v>
      </c>
      <c r="D14" s="117">
        <f>'Base &amp; Ref. Case Calcs.'!AK11</f>
        <v>2099.9049980827735</v>
      </c>
      <c r="E14" s="109"/>
      <c r="F14" s="137">
        <f>'Climate Case Calcs.'!D11/C14-1</f>
        <v>-3.5608001551968194E-2</v>
      </c>
      <c r="G14" s="138">
        <f>'Climate Case Calcs.'!K11/D14-1</f>
        <v>-4.2996540961082408E-2</v>
      </c>
      <c r="H14" s="139"/>
      <c r="I14" s="137">
        <f>'Climate Case Calcs.'!R11/C14-1</f>
        <v>-4.8554567257531933E-2</v>
      </c>
      <c r="J14" s="140">
        <f>'Climate Case Calcs.'!Y11/D14-1</f>
        <v>-5.5007197114912532E-2</v>
      </c>
      <c r="L14" s="39" t="str">
        <f>'Base &amp; Ref. Case Calcs.'!D11</f>
        <v>All species</v>
      </c>
      <c r="M14" s="116">
        <f>'Base &amp; Ref. Case Calcs.'!Z11</f>
        <v>3665.8298265425956</v>
      </c>
      <c r="N14" s="116">
        <f>'Base &amp; Ref. Case Calcs.'!AH11</f>
        <v>3782.3177763513081</v>
      </c>
      <c r="O14" s="107"/>
      <c r="P14" s="140">
        <f>'Climate Case Calcs.'!E11/M14-1</f>
        <v>5.3187952262488736E-2</v>
      </c>
      <c r="Q14" s="140">
        <f>'Climate Case Calcs.'!L11/N14-1</f>
        <v>6.3295621585483186E-2</v>
      </c>
      <c r="R14" s="141"/>
      <c r="S14" s="140">
        <f>'Climate Case Calcs.'!S11/M14-1</f>
        <v>7.260385671835734E-2</v>
      </c>
      <c r="T14" s="140">
        <f>'Climate Case Calcs.'!Z11/N14-1</f>
        <v>8.0327711483731523E-2</v>
      </c>
      <c r="U14" s="15"/>
    </row>
    <row r="15" spans="2:21" ht="5" customHeight="1" thickTop="1" thickBot="1" x14ac:dyDescent="0.5">
      <c r="B15" s="37"/>
      <c r="C15" s="37"/>
      <c r="D15" s="37"/>
      <c r="E15" s="37"/>
      <c r="F15" s="37"/>
      <c r="G15" s="38"/>
      <c r="H15" s="38"/>
      <c r="I15" s="37"/>
      <c r="J15" s="37"/>
      <c r="L15" s="37"/>
      <c r="M15" s="37"/>
      <c r="N15" s="37"/>
      <c r="O15" s="37"/>
      <c r="P15" s="37"/>
      <c r="Q15" s="38"/>
      <c r="R15" s="38"/>
      <c r="S15" s="37"/>
      <c r="T15" s="37"/>
      <c r="U15" s="15"/>
    </row>
    <row r="16" spans="2:21" ht="5" customHeight="1" x14ac:dyDescent="0.45">
      <c r="B16" s="15"/>
      <c r="C16" s="15"/>
      <c r="D16" s="15"/>
      <c r="E16" s="15"/>
      <c r="F16" s="15"/>
      <c r="G16" s="15"/>
      <c r="H16" s="15"/>
      <c r="I16" s="15"/>
      <c r="J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2:21" x14ac:dyDescent="0.45">
      <c r="B17" s="15"/>
      <c r="C17" s="15"/>
      <c r="D17" s="15"/>
      <c r="E17" s="15"/>
      <c r="F17" s="15"/>
      <c r="G17" s="15"/>
      <c r="H17" s="15"/>
      <c r="I17" s="15"/>
      <c r="J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2:21" ht="30" customHeight="1" x14ac:dyDescent="0.45">
      <c r="B18" s="159" t="s">
        <v>163</v>
      </c>
      <c r="C18" s="159"/>
      <c r="D18" s="159"/>
      <c r="E18" s="159"/>
      <c r="F18" s="159"/>
      <c r="G18" s="159"/>
      <c r="H18" s="159"/>
      <c r="I18" s="159"/>
      <c r="J18" s="159"/>
      <c r="L18" s="159" t="s">
        <v>164</v>
      </c>
      <c r="M18" s="159"/>
      <c r="N18" s="159"/>
      <c r="O18" s="159"/>
      <c r="P18" s="159"/>
      <c r="Q18" s="159"/>
      <c r="R18" s="159"/>
      <c r="S18" s="159"/>
      <c r="T18" s="159"/>
    </row>
    <row r="19" spans="2:21" ht="5" customHeight="1" thickBot="1" x14ac:dyDescent="0.5">
      <c r="B19" s="41"/>
      <c r="C19" s="41"/>
      <c r="D19" s="41"/>
      <c r="E19" s="41"/>
      <c r="F19" s="41"/>
      <c r="G19" s="41"/>
      <c r="H19" s="41"/>
      <c r="I19" s="41"/>
      <c r="J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21" ht="5" customHeight="1" x14ac:dyDescent="0.45">
      <c r="B20" s="13"/>
      <c r="C20" s="13"/>
      <c r="D20" s="13"/>
      <c r="E20" s="13"/>
      <c r="F20" s="13"/>
      <c r="G20" s="13"/>
      <c r="H20" s="13"/>
      <c r="I20" s="13"/>
      <c r="J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2:21" ht="25.05" customHeight="1" thickBot="1" x14ac:dyDescent="0.5">
      <c r="B21" s="13"/>
      <c r="C21" s="160" t="s">
        <v>158</v>
      </c>
      <c r="D21" s="160"/>
      <c r="E21" s="13"/>
      <c r="F21" s="161" t="s">
        <v>159</v>
      </c>
      <c r="G21" s="161"/>
      <c r="H21" s="161"/>
      <c r="I21" s="161"/>
      <c r="J21" s="161"/>
      <c r="L21" s="13"/>
      <c r="M21" s="160" t="s">
        <v>158</v>
      </c>
      <c r="N21" s="160"/>
      <c r="O21" s="13"/>
      <c r="P21" s="161" t="s">
        <v>159</v>
      </c>
      <c r="Q21" s="161"/>
      <c r="R21" s="161"/>
      <c r="S21" s="161"/>
      <c r="T21" s="161"/>
    </row>
    <row r="22" spans="2:21" ht="25.05" customHeight="1" thickTop="1" thickBot="1" x14ac:dyDescent="0.5">
      <c r="B22" s="15"/>
      <c r="C22" s="157" t="s">
        <v>166</v>
      </c>
      <c r="D22" s="157"/>
      <c r="E22" s="15"/>
      <c r="F22" s="158" t="s">
        <v>16</v>
      </c>
      <c r="G22" s="158"/>
      <c r="H22" s="20"/>
      <c r="I22" s="158" t="s">
        <v>17</v>
      </c>
      <c r="J22" s="158"/>
      <c r="L22" s="15"/>
      <c r="M22" s="157" t="s">
        <v>166</v>
      </c>
      <c r="N22" s="157"/>
      <c r="O22" s="15"/>
      <c r="P22" s="158" t="s">
        <v>16</v>
      </c>
      <c r="Q22" s="158"/>
      <c r="R22" s="97"/>
      <c r="S22" s="158" t="s">
        <v>17</v>
      </c>
      <c r="T22" s="158"/>
      <c r="U22" s="15"/>
    </row>
    <row r="23" spans="2:21" ht="25.05" customHeight="1" thickTop="1" x14ac:dyDescent="0.45">
      <c r="B23" s="122"/>
      <c r="C23" s="111">
        <v>2035</v>
      </c>
      <c r="D23" s="110">
        <v>2055</v>
      </c>
      <c r="E23" s="62"/>
      <c r="F23" s="118">
        <v>2035</v>
      </c>
      <c r="G23" s="119">
        <v>2055</v>
      </c>
      <c r="H23" s="63"/>
      <c r="I23" s="118">
        <v>2035</v>
      </c>
      <c r="J23" s="120">
        <v>2055</v>
      </c>
      <c r="K23" s="83"/>
      <c r="L23" s="62"/>
      <c r="M23" s="111">
        <v>2035</v>
      </c>
      <c r="N23" s="110">
        <v>2055</v>
      </c>
      <c r="O23" s="62"/>
      <c r="P23" s="118">
        <v>2035</v>
      </c>
      <c r="Q23" s="119">
        <v>2055</v>
      </c>
      <c r="R23" s="126"/>
      <c r="S23" s="118">
        <v>2035</v>
      </c>
      <c r="T23" s="120">
        <v>2055</v>
      </c>
      <c r="U23" s="15"/>
    </row>
    <row r="24" spans="2:21" s="19" customFormat="1" ht="5" customHeight="1" x14ac:dyDescent="0.45">
      <c r="B24" s="64"/>
      <c r="C24" s="123"/>
      <c r="D24" s="124"/>
      <c r="E24" s="64"/>
      <c r="F24" s="125"/>
      <c r="G24" s="124"/>
      <c r="H24" s="46"/>
      <c r="I24" s="125"/>
      <c r="J24" s="123"/>
      <c r="K24" s="84"/>
      <c r="L24" s="64"/>
      <c r="M24" s="123"/>
      <c r="N24" s="123"/>
      <c r="O24" s="64"/>
      <c r="P24" s="121"/>
      <c r="Q24" s="121"/>
      <c r="R24" s="127"/>
      <c r="S24" s="121"/>
      <c r="T24" s="121"/>
      <c r="U24" s="60"/>
    </row>
    <row r="25" spans="2:21" ht="20" customHeight="1" thickBot="1" x14ac:dyDescent="0.5">
      <c r="B25" s="36" t="str">
        <f>'Base &amp; Ref. Case Calcs.'!D6</f>
        <v>Demersals</v>
      </c>
      <c r="C25" s="133">
        <f>'Base &amp; Ref. Case Calcs.'!AD6</f>
        <v>2.1578034074240033</v>
      </c>
      <c r="D25" s="134">
        <f>'Base &amp; Ref. Case Calcs.'!AL6</f>
        <v>2.2154535585253772</v>
      </c>
      <c r="E25" s="108"/>
      <c r="F25" s="128">
        <f>'Climate Case Calcs.'!F6/C25-1</f>
        <v>-5.993299793894824E-2</v>
      </c>
      <c r="G25" s="129">
        <f>'Climate Case Calcs.'!M6/D25-1</f>
        <v>-7.6236393725284901E-2</v>
      </c>
      <c r="H25" s="130"/>
      <c r="I25" s="128">
        <f>'Climate Case Calcs.'!T6/C25-1</f>
        <v>-8.2620487259939202E-2</v>
      </c>
      <c r="J25" s="131">
        <f>'Climate Case Calcs.'!AA6/D25-1</f>
        <v>-8.3288781642171239E-2</v>
      </c>
      <c r="L25" s="36" t="str">
        <f>'Base &amp; Ref. Case Calcs.'!D6</f>
        <v>Demersals</v>
      </c>
      <c r="M25" s="133">
        <f>'Base &amp; Ref. Case Calcs.'!AD17</f>
        <v>2.2106714661331979</v>
      </c>
      <c r="N25" s="133">
        <f>'Base &amp; Ref. Case Calcs.'!AL17</f>
        <v>2.2995613587999753</v>
      </c>
      <c r="O25" s="55"/>
      <c r="P25" s="131">
        <f>'Climate Case Calcs.'!H17/M25-1</f>
        <v>-6.5193031670710555E-3</v>
      </c>
      <c r="Q25" s="131">
        <f>'Climate Case Calcs.'!O17/N25-1</f>
        <v>-1.0502479488944338E-2</v>
      </c>
      <c r="R25" s="132"/>
      <c r="S25" s="131">
        <f>'Climate Case Calcs.'!V17/M25-1</f>
        <v>-1.0325420089282722E-2</v>
      </c>
      <c r="T25" s="131">
        <f>'Climate Case Calcs.'!AC17/N25-1</f>
        <v>-1.1894675644540942E-2</v>
      </c>
      <c r="U25" s="15"/>
    </row>
    <row r="26" spans="2:21" ht="20" customHeight="1" thickTop="1" thickBot="1" x14ac:dyDescent="0.5">
      <c r="B26" s="36" t="str">
        <f>'Base &amp; Ref. Case Calcs.'!D7</f>
        <v>Tuna &amp; billfishes</v>
      </c>
      <c r="C26" s="133">
        <f>'Base &amp; Ref. Case Calcs.'!AD7</f>
        <v>0.49355068008523789</v>
      </c>
      <c r="D26" s="134">
        <f>'Base &amp; Ref. Case Calcs.'!AL7</f>
        <v>0.52664468989151969</v>
      </c>
      <c r="E26" s="108"/>
      <c r="F26" s="128">
        <f>'Climate Case Calcs.'!F7/C26-1</f>
        <v>-2.4836492430888479E-2</v>
      </c>
      <c r="G26" s="129">
        <f>'Climate Case Calcs.'!M7/D26-1</f>
        <v>-2.8875244954479462E-2</v>
      </c>
      <c r="H26" s="130"/>
      <c r="I26" s="128">
        <f>'Climate Case Calcs.'!T7/C26-1</f>
        <v>-3.4035917073069188E-2</v>
      </c>
      <c r="J26" s="131">
        <f>'Climate Case Calcs.'!AA7/D26-1</f>
        <v>-3.8180351943920554E-2</v>
      </c>
      <c r="L26" s="36" t="str">
        <f>'Base &amp; Ref. Case Calcs.'!D7</f>
        <v>Tuna &amp; billfishes</v>
      </c>
      <c r="M26" s="133">
        <f>'Base &amp; Ref. Case Calcs.'!AD18</f>
        <v>0.34911742256316192</v>
      </c>
      <c r="N26" s="133">
        <f>'Base &amp; Ref. Case Calcs.'!AL18</f>
        <v>0.37506020312108312</v>
      </c>
      <c r="O26" s="55"/>
      <c r="P26" s="131">
        <f>'Climate Case Calcs.'!H18/M26-1</f>
        <v>-8.7239034470558696E-3</v>
      </c>
      <c r="Q26" s="131">
        <f>'Climate Case Calcs.'!O18/N26-1</f>
        <v>-1.0948320366181319E-2</v>
      </c>
      <c r="R26" s="132"/>
      <c r="S26" s="131">
        <f>'Climate Case Calcs.'!V18/M26-1</f>
        <v>-1.2354516394743609E-2</v>
      </c>
      <c r="T26" s="131">
        <f>'Climate Case Calcs.'!AC18/N26-1</f>
        <v>-1.4930621300490721E-2</v>
      </c>
      <c r="U26" s="15"/>
    </row>
    <row r="27" spans="2:21" ht="20" customHeight="1" thickTop="1" thickBot="1" x14ac:dyDescent="0.5">
      <c r="B27" s="36" t="str">
        <f>'Base &amp; Ref. Case Calcs.'!D8</f>
        <v>Other palegic</v>
      </c>
      <c r="C27" s="133">
        <f>'Base &amp; Ref. Case Calcs.'!AD8</f>
        <v>2.6202862490898573</v>
      </c>
      <c r="D27" s="134">
        <f>'Base &amp; Ref. Case Calcs.'!AL8</f>
        <v>2.6664319325127361</v>
      </c>
      <c r="E27" s="108"/>
      <c r="F27" s="128">
        <f>'Climate Case Calcs.'!F8/C27-1</f>
        <v>-8.3244686477964569E-2</v>
      </c>
      <c r="G27" s="129">
        <f>'Climate Case Calcs.'!M8/D27-1</f>
        <v>-9.8942584649108434E-2</v>
      </c>
      <c r="H27" s="130"/>
      <c r="I27" s="128">
        <f>'Climate Case Calcs.'!T8/C27-1</f>
        <v>-0.11207389287036784</v>
      </c>
      <c r="J27" s="131">
        <f>'Climate Case Calcs.'!AA8/D27-1</f>
        <v>-0.13063834391390128</v>
      </c>
      <c r="L27" s="36" t="str">
        <f>'Base &amp; Ref. Case Calcs.'!D8</f>
        <v>Other palegic</v>
      </c>
      <c r="M27" s="133">
        <f>'Base &amp; Ref. Case Calcs.'!AD19</f>
        <v>2.9118227199553863</v>
      </c>
      <c r="N27" s="133">
        <f>'Base &amp; Ref. Case Calcs.'!AL19</f>
        <v>3.0063115002974716</v>
      </c>
      <c r="O27" s="55"/>
      <c r="P27" s="131">
        <f>'Climate Case Calcs.'!H19/M27-1</f>
        <v>-3.0331562547956104E-3</v>
      </c>
      <c r="Q27" s="131">
        <f>'Climate Case Calcs.'!O19/N27-1</f>
        <v>-6.103391793863655E-3</v>
      </c>
      <c r="R27" s="132"/>
      <c r="S27" s="131">
        <f>'Climate Case Calcs.'!V19/M27-1</f>
        <v>-6.0762355809583779E-3</v>
      </c>
      <c r="T27" s="131">
        <f>'Climate Case Calcs.'!AC19/N27-1</f>
        <v>-1.064217399596723E-2</v>
      </c>
      <c r="U27" s="15"/>
    </row>
    <row r="28" spans="2:21" ht="20" customHeight="1" thickTop="1" thickBot="1" x14ac:dyDescent="0.5">
      <c r="B28" s="36" t="str">
        <f>'Base &amp; Ref. Case Calcs.'!D9</f>
        <v>Other marine</v>
      </c>
      <c r="C28" s="133">
        <f>'Base &amp; Ref. Case Calcs.'!AD9</f>
        <v>0.26241890467710555</v>
      </c>
      <c r="D28" s="134">
        <f>'Base &amp; Ref. Case Calcs.'!AL9</f>
        <v>0.26818914491138729</v>
      </c>
      <c r="E28" s="108"/>
      <c r="F28" s="128">
        <f>'Climate Case Calcs.'!F9/C28-1</f>
        <v>-7.240136686010501E-2</v>
      </c>
      <c r="G28" s="129">
        <f>'Climate Case Calcs.'!M9/D28-1</f>
        <v>-8.7188688550991267E-2</v>
      </c>
      <c r="H28" s="130"/>
      <c r="I28" s="128">
        <f>'Climate Case Calcs.'!T9/C28-1</f>
        <v>-9.8000266534868818E-2</v>
      </c>
      <c r="J28" s="131">
        <f>'Climate Case Calcs.'!AA9/D28-1</f>
        <v>-0.11100673544354334</v>
      </c>
      <c r="L28" s="36" t="str">
        <f>'Base &amp; Ref. Case Calcs.'!D9</f>
        <v>Other marine</v>
      </c>
      <c r="M28" s="133">
        <f>'Base &amp; Ref. Case Calcs.'!AD20</f>
        <v>0.28052363157460936</v>
      </c>
      <c r="N28" s="133">
        <f>'Base &amp; Ref. Case Calcs.'!AL20</f>
        <v>0.29069837470961502</v>
      </c>
      <c r="O28" s="55"/>
      <c r="P28" s="131">
        <f>'Climate Case Calcs.'!H20/M28-1</f>
        <v>-5.2899813600694179E-3</v>
      </c>
      <c r="Q28" s="131">
        <f>'Climate Case Calcs.'!O20/N28-1</f>
        <v>-8.6643373558251691E-3</v>
      </c>
      <c r="R28" s="132"/>
      <c r="S28" s="131">
        <f>'Climate Case Calcs.'!V20/M28-1</f>
        <v>-8.8248330921955054E-3</v>
      </c>
      <c r="T28" s="131">
        <f>'Climate Case Calcs.'!AC20/N28-1</f>
        <v>-1.2800328524222637E-2</v>
      </c>
      <c r="U28" s="15"/>
    </row>
    <row r="29" spans="2:21" ht="20" customHeight="1" thickTop="1" thickBot="1" x14ac:dyDescent="0.5">
      <c r="B29" s="36" t="str">
        <f>'Base &amp; Ref. Case Calcs.'!D10</f>
        <v>Crustaceans</v>
      </c>
      <c r="C29" s="133">
        <f>'Base &amp; Ref. Case Calcs.'!AD10</f>
        <v>0.3266376701618367</v>
      </c>
      <c r="D29" s="134">
        <f>'Base &amp; Ref. Case Calcs.'!AL10</f>
        <v>0.34929947948574325</v>
      </c>
      <c r="E29" s="108"/>
      <c r="F29" s="128">
        <f>'Climate Case Calcs.'!F10/C29-1</f>
        <v>0</v>
      </c>
      <c r="G29" s="129">
        <f>'Climate Case Calcs.'!M10/D29-1</f>
        <v>0</v>
      </c>
      <c r="H29" s="130"/>
      <c r="I29" s="128">
        <f>'Climate Case Calcs.'!T10/C29-1</f>
        <v>0</v>
      </c>
      <c r="J29" s="131">
        <f>'Climate Case Calcs.'!AA10/D29-1</f>
        <v>0</v>
      </c>
      <c r="L29" s="36" t="str">
        <f>'Base &amp; Ref. Case Calcs.'!D10</f>
        <v>Crustaceans</v>
      </c>
      <c r="M29" s="133">
        <f>'Base &amp; Ref. Case Calcs.'!AD21</f>
        <v>0.22537999241166728</v>
      </c>
      <c r="N29" s="133">
        <f>'Base &amp; Ref. Case Calcs.'!AL21</f>
        <v>0.24101664084516281</v>
      </c>
      <c r="O29" s="55"/>
      <c r="P29" s="131">
        <f>'Climate Case Calcs.'!H21/M29-1</f>
        <v>0</v>
      </c>
      <c r="Q29" s="131">
        <f>'Climate Case Calcs.'!O21/N29-1</f>
        <v>0</v>
      </c>
      <c r="R29" s="132"/>
      <c r="S29" s="131">
        <f>'Climate Case Calcs.'!V21/M29-1</f>
        <v>0</v>
      </c>
      <c r="T29" s="131">
        <f>'Climate Case Calcs.'!AC21/N29-1</f>
        <v>0</v>
      </c>
      <c r="U29" s="15"/>
    </row>
    <row r="30" spans="2:21" ht="20" customHeight="1" thickTop="1" thickBot="1" x14ac:dyDescent="0.5">
      <c r="B30" s="39" t="str">
        <f>'Base &amp; Ref. Case Calcs.'!D11</f>
        <v>All species</v>
      </c>
      <c r="C30" s="135">
        <f>'Base &amp; Ref. Case Calcs.'!AD11</f>
        <v>5.8606969114380414</v>
      </c>
      <c r="D30" s="136">
        <f>'Base &amp; Ref. Case Calcs.'!AL11</f>
        <v>6.0260188053267632</v>
      </c>
      <c r="E30" s="109"/>
      <c r="F30" s="137">
        <f>'Climate Case Calcs.'!F11/C30-1</f>
        <v>-6.4617927748055637E-2</v>
      </c>
      <c r="G30" s="138">
        <f>'Climate Case Calcs.'!M11/D30-1</f>
        <v>-7.8212817855456973E-2</v>
      </c>
      <c r="H30" s="139"/>
      <c r="I30" s="137">
        <f>'Climate Case Calcs.'!T11/C30-1</f>
        <v>-8.7781373051310507E-2</v>
      </c>
      <c r="J30" s="140">
        <f>'Climate Case Calcs.'!AA11/D30-1</f>
        <v>-9.6703807171883427E-2</v>
      </c>
      <c r="L30" s="39" t="str">
        <f>'Base &amp; Ref. Case Calcs.'!D11</f>
        <v>All species</v>
      </c>
      <c r="M30" s="135">
        <f>'Base &amp; Ref. Case Calcs.'!AD22</f>
        <v>5.977515232638023</v>
      </c>
      <c r="N30" s="135">
        <f>'Base &amp; Ref. Case Calcs.'!AL22</f>
        <v>6.2126480777733084</v>
      </c>
      <c r="O30" s="107"/>
      <c r="P30" s="140">
        <f>'Climate Case Calcs.'!H22/M30-1</f>
        <v>-4.6463590929841647E-3</v>
      </c>
      <c r="Q30" s="140">
        <f>'Climate Case Calcs.'!O22/N30-1</f>
        <v>-7.9072209431080287E-3</v>
      </c>
      <c r="R30" s="141"/>
      <c r="S30" s="140">
        <f>'Climate Case Calcs.'!V22/M30-1</f>
        <v>-7.9142890800434351E-3</v>
      </c>
      <c r="T30" s="140">
        <f>'Climate Case Calcs.'!AC22/N30-1</f>
        <v>-1.1052797817565518E-2</v>
      </c>
      <c r="U30" s="15"/>
    </row>
    <row r="31" spans="2:21" ht="5" customHeight="1" thickTop="1" thickBot="1" x14ac:dyDescent="0.5">
      <c r="B31" s="37"/>
      <c r="C31" s="37"/>
      <c r="D31" s="37"/>
      <c r="E31" s="37"/>
      <c r="F31" s="37"/>
      <c r="G31" s="38"/>
      <c r="H31" s="38"/>
      <c r="I31" s="37"/>
      <c r="J31" s="37"/>
      <c r="L31" s="37"/>
      <c r="M31" s="37"/>
      <c r="N31" s="37"/>
      <c r="O31" s="37"/>
      <c r="P31" s="37"/>
      <c r="Q31" s="38"/>
      <c r="R31" s="38"/>
      <c r="S31" s="37"/>
      <c r="T31" s="37"/>
      <c r="U31" s="15"/>
    </row>
    <row r="32" spans="2:21" ht="5" customHeight="1" x14ac:dyDescent="0.45">
      <c r="B32" s="15"/>
      <c r="C32" s="15"/>
      <c r="D32" s="15"/>
      <c r="E32" s="15"/>
      <c r="F32" s="15"/>
      <c r="G32" s="15"/>
      <c r="H32" s="15"/>
      <c r="I32" s="15"/>
      <c r="J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2:21" x14ac:dyDescent="0.45">
      <c r="B33" s="15"/>
      <c r="C33" s="15"/>
      <c r="D33" s="15"/>
      <c r="E33" s="15"/>
      <c r="F33" s="15"/>
      <c r="G33" s="15"/>
      <c r="H33" s="15"/>
      <c r="I33" s="15"/>
      <c r="J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2:21" ht="30" customHeight="1" x14ac:dyDescent="0.45">
      <c r="B34" s="159" t="s">
        <v>168</v>
      </c>
      <c r="C34" s="159"/>
      <c r="D34" s="159"/>
      <c r="E34" s="159"/>
      <c r="F34" s="159"/>
      <c r="G34" s="159"/>
      <c r="H34" s="159"/>
      <c r="I34" s="159"/>
      <c r="J34" s="159"/>
      <c r="L34" s="159" t="s">
        <v>169</v>
      </c>
      <c r="M34" s="159"/>
      <c r="N34" s="159"/>
      <c r="O34" s="159"/>
      <c r="P34" s="159"/>
      <c r="Q34" s="159"/>
      <c r="R34" s="159"/>
      <c r="S34" s="159"/>
      <c r="T34" s="159"/>
    </row>
    <row r="35" spans="2:21" ht="5" customHeight="1" thickBot="1" x14ac:dyDescent="0.5">
      <c r="B35" s="41"/>
      <c r="C35" s="41"/>
      <c r="D35" s="41"/>
      <c r="E35" s="41"/>
      <c r="F35" s="41"/>
      <c r="G35" s="41"/>
      <c r="H35" s="41"/>
      <c r="I35" s="41"/>
      <c r="J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2:21" ht="5" customHeight="1" x14ac:dyDescent="0.45">
      <c r="B36" s="13"/>
      <c r="C36" s="13"/>
      <c r="D36" s="13"/>
      <c r="E36" s="13"/>
      <c r="F36" s="13"/>
      <c r="G36" s="13"/>
      <c r="H36" s="13"/>
      <c r="I36" s="13"/>
      <c r="J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2:21" ht="25.05" customHeight="1" thickBot="1" x14ac:dyDescent="0.5">
      <c r="B37" s="13"/>
      <c r="C37" s="160" t="s">
        <v>158</v>
      </c>
      <c r="D37" s="160"/>
      <c r="E37" s="13"/>
      <c r="F37" s="161" t="s">
        <v>159</v>
      </c>
      <c r="G37" s="161"/>
      <c r="H37" s="161"/>
      <c r="I37" s="161"/>
      <c r="J37" s="161"/>
      <c r="L37" s="13"/>
      <c r="M37" s="160" t="s">
        <v>158</v>
      </c>
      <c r="N37" s="160"/>
      <c r="O37" s="13"/>
      <c r="P37" s="161" t="s">
        <v>159</v>
      </c>
      <c r="Q37" s="161"/>
      <c r="R37" s="161"/>
      <c r="S37" s="161"/>
      <c r="T37" s="161"/>
    </row>
    <row r="38" spans="2:21" ht="25.05" customHeight="1" thickTop="1" thickBot="1" x14ac:dyDescent="0.5">
      <c r="B38" s="15"/>
      <c r="C38" s="157" t="s">
        <v>167</v>
      </c>
      <c r="D38" s="157"/>
      <c r="E38" s="15"/>
      <c r="F38" s="158" t="s">
        <v>16</v>
      </c>
      <c r="G38" s="158"/>
      <c r="H38" s="20"/>
      <c r="I38" s="158" t="s">
        <v>17</v>
      </c>
      <c r="J38" s="158"/>
      <c r="L38" s="15"/>
      <c r="M38" s="157" t="s">
        <v>167</v>
      </c>
      <c r="N38" s="157"/>
      <c r="O38" s="15"/>
      <c r="P38" s="158" t="s">
        <v>16</v>
      </c>
      <c r="Q38" s="158"/>
      <c r="R38" s="97"/>
      <c r="S38" s="158" t="s">
        <v>17</v>
      </c>
      <c r="T38" s="158"/>
      <c r="U38" s="15"/>
    </row>
    <row r="39" spans="2:21" ht="25.05" customHeight="1" thickTop="1" x14ac:dyDescent="0.45">
      <c r="B39" s="122"/>
      <c r="C39" s="111">
        <v>2035</v>
      </c>
      <c r="D39" s="110">
        <v>2055</v>
      </c>
      <c r="E39" s="62"/>
      <c r="F39" s="118">
        <v>2035</v>
      </c>
      <c r="G39" s="119">
        <v>2055</v>
      </c>
      <c r="H39" s="63"/>
      <c r="I39" s="118">
        <v>2035</v>
      </c>
      <c r="J39" s="120">
        <v>2055</v>
      </c>
      <c r="K39" s="83"/>
      <c r="L39" s="62"/>
      <c r="M39" s="111">
        <v>2035</v>
      </c>
      <c r="N39" s="110">
        <v>2055</v>
      </c>
      <c r="O39" s="62"/>
      <c r="P39" s="118">
        <v>2035</v>
      </c>
      <c r="Q39" s="119">
        <v>2055</v>
      </c>
      <c r="R39" s="126"/>
      <c r="S39" s="118">
        <v>2035</v>
      </c>
      <c r="T39" s="120">
        <v>2055</v>
      </c>
      <c r="U39" s="15"/>
    </row>
    <row r="40" spans="2:21" s="19" customFormat="1" ht="5" customHeight="1" x14ac:dyDescent="0.45">
      <c r="B40" s="64"/>
      <c r="C40" s="123"/>
      <c r="D40" s="124"/>
      <c r="E40" s="64"/>
      <c r="F40" s="125"/>
      <c r="G40" s="124"/>
      <c r="H40" s="46"/>
      <c r="I40" s="125"/>
      <c r="J40" s="123"/>
      <c r="K40" s="84"/>
      <c r="L40" s="64"/>
      <c r="M40" s="123"/>
      <c r="N40" s="123"/>
      <c r="O40" s="64"/>
      <c r="P40" s="121"/>
      <c r="Q40" s="121"/>
      <c r="R40" s="127"/>
      <c r="S40" s="121"/>
      <c r="T40" s="121"/>
      <c r="U40" s="60"/>
    </row>
    <row r="41" spans="2:21" ht="20" customHeight="1" thickBot="1" x14ac:dyDescent="0.5">
      <c r="B41" s="36" t="str">
        <f>'Base &amp; Ref. Case Calcs.'!D6</f>
        <v>Demersals</v>
      </c>
      <c r="C41" s="112">
        <f>ROUND(C25*10^3,-1)</f>
        <v>2160</v>
      </c>
      <c r="D41" s="112">
        <f>ROUND(D25*10^3,-1)</f>
        <v>2220</v>
      </c>
      <c r="E41" s="108"/>
      <c r="F41" s="143">
        <f>ROUND(C41*F25,-1)</f>
        <v>-130</v>
      </c>
      <c r="G41" s="143">
        <f>ROUND(D41*G25,-1)</f>
        <v>-170</v>
      </c>
      <c r="H41" s="130"/>
      <c r="I41" s="143">
        <f>ROUND(C41*I25,-1)</f>
        <v>-180</v>
      </c>
      <c r="J41" s="143">
        <f>ROUND(D41*J25,-1)</f>
        <v>-180</v>
      </c>
      <c r="L41" s="36" t="str">
        <f>'Base &amp; Ref. Case Calcs.'!D6</f>
        <v>Demersals</v>
      </c>
      <c r="M41" s="112">
        <f>ROUND(M25*10^3,-1)</f>
        <v>2210</v>
      </c>
      <c r="N41" s="112">
        <f>ROUND(N25*10^3,-1)</f>
        <v>2300</v>
      </c>
      <c r="O41" s="55"/>
      <c r="P41" s="143">
        <f>ROUND(M41*P25,-1)</f>
        <v>-10</v>
      </c>
      <c r="Q41" s="143">
        <f>ROUND(N41*Q25,-1)</f>
        <v>-20</v>
      </c>
      <c r="R41" s="130"/>
      <c r="S41" s="143">
        <f>ROUND(M41*S25,-1)</f>
        <v>-20</v>
      </c>
      <c r="T41" s="143">
        <f>ROUND(N41*T25,-1)</f>
        <v>-30</v>
      </c>
      <c r="U41" s="15"/>
    </row>
    <row r="42" spans="2:21" ht="20" customHeight="1" thickTop="1" thickBot="1" x14ac:dyDescent="0.5">
      <c r="B42" s="36" t="str">
        <f>'Base &amp; Ref. Case Calcs.'!D7</f>
        <v>Tuna &amp; billfishes</v>
      </c>
      <c r="C42" s="112">
        <f t="shared" ref="C42:D42" si="0">ROUND(C26*10^3,-1)</f>
        <v>490</v>
      </c>
      <c r="D42" s="112">
        <f t="shared" si="0"/>
        <v>530</v>
      </c>
      <c r="E42" s="108"/>
      <c r="F42" s="143">
        <f t="shared" ref="F42:G42" si="1">ROUND(C42*F26,-1)</f>
        <v>-10</v>
      </c>
      <c r="G42" s="143">
        <f t="shared" si="1"/>
        <v>-20</v>
      </c>
      <c r="H42" s="130"/>
      <c r="I42" s="143">
        <f t="shared" ref="I42:J42" si="2">ROUND(C42*I26,-1)</f>
        <v>-20</v>
      </c>
      <c r="J42" s="143">
        <f t="shared" si="2"/>
        <v>-20</v>
      </c>
      <c r="L42" s="36" t="str">
        <f>'Base &amp; Ref. Case Calcs.'!D7</f>
        <v>Tuna &amp; billfishes</v>
      </c>
      <c r="M42" s="112">
        <f t="shared" ref="M42:N42" si="3">ROUND(M26*10^3,-1)</f>
        <v>350</v>
      </c>
      <c r="N42" s="112">
        <f t="shared" si="3"/>
        <v>380</v>
      </c>
      <c r="O42" s="55"/>
      <c r="P42" s="143">
        <f t="shared" ref="P42:P46" si="4">ROUND(M42*P26,-1)</f>
        <v>0</v>
      </c>
      <c r="Q42" s="143">
        <f t="shared" ref="Q42:Q46" si="5">ROUND(N42*Q26,-1)</f>
        <v>0</v>
      </c>
      <c r="R42" s="130"/>
      <c r="S42" s="143">
        <f t="shared" ref="S42:S46" si="6">ROUND(M42*S26,-1)</f>
        <v>0</v>
      </c>
      <c r="T42" s="143">
        <f t="shared" ref="T42:T46" si="7">ROUND(N42*T26,-1)</f>
        <v>-10</v>
      </c>
      <c r="U42" s="15"/>
    </row>
    <row r="43" spans="2:21" ht="20" customHeight="1" thickTop="1" thickBot="1" x14ac:dyDescent="0.5">
      <c r="B43" s="36" t="str">
        <f>'Base &amp; Ref. Case Calcs.'!D8</f>
        <v>Other palegic</v>
      </c>
      <c r="C43" s="112">
        <f t="shared" ref="C43:D43" si="8">ROUND(C27*10^3,-1)</f>
        <v>2620</v>
      </c>
      <c r="D43" s="112">
        <f t="shared" si="8"/>
        <v>2670</v>
      </c>
      <c r="E43" s="108"/>
      <c r="F43" s="143">
        <f t="shared" ref="F43:G43" si="9">ROUND(C43*F27,-1)</f>
        <v>-220</v>
      </c>
      <c r="G43" s="143">
        <f t="shared" si="9"/>
        <v>-260</v>
      </c>
      <c r="H43" s="130"/>
      <c r="I43" s="143">
        <f t="shared" ref="I43:J43" si="10">ROUND(C43*I27,-1)</f>
        <v>-290</v>
      </c>
      <c r="J43" s="143">
        <f t="shared" si="10"/>
        <v>-350</v>
      </c>
      <c r="L43" s="36" t="str">
        <f>'Base &amp; Ref. Case Calcs.'!D8</f>
        <v>Other palegic</v>
      </c>
      <c r="M43" s="112">
        <f t="shared" ref="M43:N43" si="11">ROUND(M27*10^3,-1)</f>
        <v>2910</v>
      </c>
      <c r="N43" s="112">
        <f t="shared" si="11"/>
        <v>3010</v>
      </c>
      <c r="O43" s="55"/>
      <c r="P43" s="143">
        <f t="shared" si="4"/>
        <v>-10</v>
      </c>
      <c r="Q43" s="143">
        <f t="shared" si="5"/>
        <v>-20</v>
      </c>
      <c r="R43" s="130"/>
      <c r="S43" s="143">
        <f t="shared" si="6"/>
        <v>-20</v>
      </c>
      <c r="T43" s="143">
        <f t="shared" si="7"/>
        <v>-30</v>
      </c>
      <c r="U43" s="15"/>
    </row>
    <row r="44" spans="2:21" ht="20" customHeight="1" thickTop="1" thickBot="1" x14ac:dyDescent="0.5">
      <c r="B44" s="36" t="str">
        <f>'Base &amp; Ref. Case Calcs.'!D9</f>
        <v>Other marine</v>
      </c>
      <c r="C44" s="112">
        <f t="shared" ref="C44:D44" si="12">ROUND(C28*10^3,-1)</f>
        <v>260</v>
      </c>
      <c r="D44" s="112">
        <f t="shared" si="12"/>
        <v>270</v>
      </c>
      <c r="E44" s="108"/>
      <c r="F44" s="143">
        <f t="shared" ref="F44:G44" si="13">ROUND(C44*F28,-1)</f>
        <v>-20</v>
      </c>
      <c r="G44" s="143">
        <f t="shared" si="13"/>
        <v>-20</v>
      </c>
      <c r="H44" s="130"/>
      <c r="I44" s="143">
        <f t="shared" ref="I44:J44" si="14">ROUND(C44*I28,-1)</f>
        <v>-30</v>
      </c>
      <c r="J44" s="143">
        <f t="shared" si="14"/>
        <v>-30</v>
      </c>
      <c r="L44" s="36" t="str">
        <f>'Base &amp; Ref. Case Calcs.'!D9</f>
        <v>Other marine</v>
      </c>
      <c r="M44" s="112">
        <f t="shared" ref="M44:N44" si="15">ROUND(M28*10^3,-1)</f>
        <v>280</v>
      </c>
      <c r="N44" s="112">
        <f t="shared" si="15"/>
        <v>290</v>
      </c>
      <c r="O44" s="55"/>
      <c r="P44" s="143">
        <f t="shared" si="4"/>
        <v>0</v>
      </c>
      <c r="Q44" s="143">
        <f t="shared" si="5"/>
        <v>0</v>
      </c>
      <c r="R44" s="130"/>
      <c r="S44" s="143">
        <f t="shared" si="6"/>
        <v>0</v>
      </c>
      <c r="T44" s="143">
        <f t="shared" si="7"/>
        <v>0</v>
      </c>
      <c r="U44" s="15"/>
    </row>
    <row r="45" spans="2:21" ht="20" customHeight="1" thickTop="1" thickBot="1" x14ac:dyDescent="0.5">
      <c r="B45" s="36" t="str">
        <f>'Base &amp; Ref. Case Calcs.'!D10</f>
        <v>Crustaceans</v>
      </c>
      <c r="C45" s="112">
        <f t="shared" ref="C45:D45" si="16">ROUND(C29*10^3,-1)</f>
        <v>330</v>
      </c>
      <c r="D45" s="112">
        <f t="shared" si="16"/>
        <v>350</v>
      </c>
      <c r="E45" s="108"/>
      <c r="F45" s="143">
        <f t="shared" ref="F45:G45" si="17">ROUND(C45*F29,-1)</f>
        <v>0</v>
      </c>
      <c r="G45" s="143">
        <f t="shared" si="17"/>
        <v>0</v>
      </c>
      <c r="H45" s="130"/>
      <c r="I45" s="143">
        <f t="shared" ref="I45:J45" si="18">ROUND(C45*I29,-1)</f>
        <v>0</v>
      </c>
      <c r="J45" s="143">
        <f t="shared" si="18"/>
        <v>0</v>
      </c>
      <c r="L45" s="36" t="str">
        <f>'Base &amp; Ref. Case Calcs.'!D10</f>
        <v>Crustaceans</v>
      </c>
      <c r="M45" s="112">
        <f t="shared" ref="M45:N45" si="19">ROUND(M29*10^3,-1)</f>
        <v>230</v>
      </c>
      <c r="N45" s="112">
        <f t="shared" si="19"/>
        <v>240</v>
      </c>
      <c r="O45" s="55"/>
      <c r="P45" s="143">
        <f t="shared" si="4"/>
        <v>0</v>
      </c>
      <c r="Q45" s="143">
        <f t="shared" si="5"/>
        <v>0</v>
      </c>
      <c r="R45" s="130"/>
      <c r="S45" s="143">
        <f t="shared" si="6"/>
        <v>0</v>
      </c>
      <c r="T45" s="143">
        <f t="shared" si="7"/>
        <v>0</v>
      </c>
      <c r="U45" s="15"/>
    </row>
    <row r="46" spans="2:21" ht="20" customHeight="1" thickTop="1" thickBot="1" x14ac:dyDescent="0.5">
      <c r="B46" s="39" t="str">
        <f>'Base &amp; Ref. Case Calcs.'!D11</f>
        <v>All species</v>
      </c>
      <c r="C46" s="142">
        <f t="shared" ref="C46:D46" si="20">ROUND(C30*10^3,-1)</f>
        <v>5860</v>
      </c>
      <c r="D46" s="142">
        <f t="shared" si="20"/>
        <v>6030</v>
      </c>
      <c r="E46" s="109"/>
      <c r="F46" s="144">
        <f t="shared" ref="F46:G46" si="21">ROUND(C46*F30,-1)</f>
        <v>-380</v>
      </c>
      <c r="G46" s="144">
        <f t="shared" si="21"/>
        <v>-470</v>
      </c>
      <c r="H46" s="139"/>
      <c r="I46" s="144">
        <f t="shared" ref="I46:J46" si="22">ROUND(C46*I30,-1)</f>
        <v>-510</v>
      </c>
      <c r="J46" s="144">
        <f t="shared" si="22"/>
        <v>-580</v>
      </c>
      <c r="L46" s="39" t="str">
        <f>'Base &amp; Ref. Case Calcs.'!D11</f>
        <v>All species</v>
      </c>
      <c r="M46" s="142">
        <f t="shared" ref="M46:N46" si="23">ROUND(M30*10^3,-1)</f>
        <v>5980</v>
      </c>
      <c r="N46" s="142">
        <f t="shared" si="23"/>
        <v>6210</v>
      </c>
      <c r="O46" s="107"/>
      <c r="P46" s="144">
        <f t="shared" si="4"/>
        <v>-30</v>
      </c>
      <c r="Q46" s="144">
        <f t="shared" si="5"/>
        <v>-50</v>
      </c>
      <c r="R46" s="139"/>
      <c r="S46" s="144">
        <f t="shared" si="6"/>
        <v>-50</v>
      </c>
      <c r="T46" s="144">
        <f t="shared" si="7"/>
        <v>-70</v>
      </c>
      <c r="U46" s="15"/>
    </row>
    <row r="47" spans="2:21" ht="5" customHeight="1" thickTop="1" thickBot="1" x14ac:dyDescent="0.5">
      <c r="B47" s="37"/>
      <c r="C47" s="37"/>
      <c r="D47" s="37"/>
      <c r="E47" s="37"/>
      <c r="F47" s="37"/>
      <c r="G47" s="38"/>
      <c r="H47" s="38"/>
      <c r="I47" s="37"/>
      <c r="J47" s="37"/>
      <c r="L47" s="37"/>
      <c r="M47" s="37"/>
      <c r="N47" s="37"/>
      <c r="O47" s="37"/>
      <c r="P47" s="37"/>
      <c r="Q47" s="38"/>
      <c r="R47" s="38"/>
      <c r="S47" s="37"/>
      <c r="T47" s="37"/>
      <c r="U47" s="15"/>
    </row>
    <row r="48" spans="2:21" ht="5" customHeight="1" x14ac:dyDescent="0.45">
      <c r="B48" s="15"/>
      <c r="C48" s="15"/>
      <c r="D48" s="15"/>
      <c r="E48" s="15"/>
      <c r="F48" s="15"/>
      <c r="G48" s="15"/>
      <c r="H48" s="15"/>
      <c r="I48" s="15"/>
      <c r="J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2:21" x14ac:dyDescent="0.45">
      <c r="B49" s="15"/>
      <c r="C49" s="15"/>
      <c r="D49" s="15"/>
      <c r="E49" s="15"/>
      <c r="F49" s="15"/>
      <c r="G49" s="15"/>
      <c r="H49" s="15"/>
      <c r="I49" s="15"/>
      <c r="J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2:21" ht="30" customHeight="1" x14ac:dyDescent="0.45">
      <c r="B50" s="156" t="s">
        <v>170</v>
      </c>
      <c r="C50" s="156"/>
      <c r="D50" s="156"/>
      <c r="E50" s="156"/>
      <c r="F50" s="156"/>
      <c r="G50" s="156"/>
      <c r="H50" s="156"/>
      <c r="I50" s="156"/>
      <c r="J50" s="156"/>
      <c r="K50" s="83"/>
      <c r="L50" s="156" t="s">
        <v>171</v>
      </c>
      <c r="M50" s="156"/>
      <c r="N50" s="156"/>
      <c r="O50" s="156"/>
      <c r="P50" s="156"/>
      <c r="Q50" s="156"/>
      <c r="R50" s="156"/>
      <c r="S50" s="156"/>
      <c r="T50" s="156"/>
      <c r="U50" s="60"/>
    </row>
    <row r="71" spans="2:21" ht="30" customHeight="1" x14ac:dyDescent="0.45">
      <c r="B71" s="156" t="s">
        <v>172</v>
      </c>
      <c r="C71" s="156"/>
      <c r="D71" s="156"/>
      <c r="E71" s="156"/>
      <c r="F71" s="156"/>
      <c r="G71" s="156"/>
      <c r="H71" s="156"/>
      <c r="I71" s="156"/>
      <c r="J71" s="156"/>
      <c r="K71" s="83"/>
      <c r="L71" s="156" t="s">
        <v>173</v>
      </c>
      <c r="M71" s="156"/>
      <c r="N71" s="156"/>
      <c r="O71" s="156"/>
      <c r="P71" s="156"/>
      <c r="Q71" s="156"/>
      <c r="R71" s="156"/>
      <c r="S71" s="156"/>
      <c r="T71" s="156"/>
      <c r="U71" s="60"/>
    </row>
  </sheetData>
  <sheetProtection algorithmName="SHA-512" hashValue="8azdOwkPbXKh2Jcj1ab8N2QNH4iRToSmkCI5ci0201tIBjd6PPOVeg072Nh7TVU7PsEa5N2RMvGK3KysP8o7dw==" saltValue="cZjcJoVGPeGOtizeOD/jtA==" spinCount="100000" sheet="1" objects="1" scenarios="1" selectLockedCells="1"/>
  <mergeCells count="40">
    <mergeCell ref="S6:T6"/>
    <mergeCell ref="C5:D5"/>
    <mergeCell ref="F5:J5"/>
    <mergeCell ref="B2:J2"/>
    <mergeCell ref="L2:T2"/>
    <mergeCell ref="M5:N5"/>
    <mergeCell ref="P5:T5"/>
    <mergeCell ref="C6:D6"/>
    <mergeCell ref="M6:N6"/>
    <mergeCell ref="F6:G6"/>
    <mergeCell ref="I6:J6"/>
    <mergeCell ref="P6:Q6"/>
    <mergeCell ref="S22:T22"/>
    <mergeCell ref="B18:J18"/>
    <mergeCell ref="L18:T18"/>
    <mergeCell ref="C21:D21"/>
    <mergeCell ref="F21:J21"/>
    <mergeCell ref="M21:N21"/>
    <mergeCell ref="P21:T21"/>
    <mergeCell ref="C22:D22"/>
    <mergeCell ref="F22:G22"/>
    <mergeCell ref="I22:J22"/>
    <mergeCell ref="M22:N22"/>
    <mergeCell ref="P22:Q22"/>
    <mergeCell ref="B34:J34"/>
    <mergeCell ref="L34:T34"/>
    <mergeCell ref="C37:D37"/>
    <mergeCell ref="F37:J37"/>
    <mergeCell ref="M37:N37"/>
    <mergeCell ref="P37:T37"/>
    <mergeCell ref="B50:J50"/>
    <mergeCell ref="L50:T50"/>
    <mergeCell ref="B71:J71"/>
    <mergeCell ref="L71:T71"/>
    <mergeCell ref="C38:D38"/>
    <mergeCell ref="F38:G38"/>
    <mergeCell ref="I38:J38"/>
    <mergeCell ref="M38:N38"/>
    <mergeCell ref="P38:Q38"/>
    <mergeCell ref="S38:T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Fishery Market Data Inputs</vt:lpstr>
      <vt:lpstr>Economic &amp; Pop. Data Inputs</vt:lpstr>
      <vt:lpstr>Climate Impact Inputs</vt:lpstr>
      <vt:lpstr>Base &amp; Ref. Case Calcs.</vt:lpstr>
      <vt:lpstr>Climate Case Calcs.</vt:lpstr>
      <vt:lpstr>Supply &amp; Demand Curves</vt:lpstr>
      <vt:lpstr>% Change in Consumption Graphs</vt:lpstr>
      <vt:lpstr>Welfare Change Outputs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 Markandya</dc:creator>
  <cp:lastModifiedBy>Richard Boyd</cp:lastModifiedBy>
  <dcterms:created xsi:type="dcterms:W3CDTF">2018-10-01T09:52:30Z</dcterms:created>
  <dcterms:modified xsi:type="dcterms:W3CDTF">2019-06-25T16:59:08Z</dcterms:modified>
</cp:coreProperties>
</file>